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echa01\Desktop\GCO\NIH Salary Cap Worksheet\"/>
    </mc:Choice>
  </mc:AlternateContent>
  <bookViews>
    <workbookView xWindow="0" yWindow="0" windowWidth="23040" windowHeight="9876"/>
  </bookViews>
  <sheets>
    <sheet name="P-T Over Cap" sheetId="1" r:id="rId1"/>
    <sheet name="Section 3 Add Accounts" sheetId="3" r:id="rId2"/>
    <sheet name="Section 5 Add Accounts" sheetId="4" r:id="rId3"/>
  </sheets>
  <definedNames>
    <definedName name="_xlnm.Print_Area" localSheetId="0">'P-T Over Cap'!$A$9:$F$71</definedName>
    <definedName name="_xlnm.Print_Area" localSheetId="1">'Section 3 Add Accounts'!$A$4:$F$43</definedName>
    <definedName name="_xlnm.Print_Area" localSheetId="2">'Section 5 Add Accounts'!$A$4:$F$46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A17" i="1"/>
  <c r="E34" i="4" l="1"/>
  <c r="E35" i="4"/>
  <c r="E36" i="4"/>
  <c r="E37" i="4"/>
  <c r="E38" i="4"/>
  <c r="E39" i="4"/>
  <c r="E40" i="4"/>
  <c r="E41" i="4"/>
  <c r="E42" i="4"/>
  <c r="E43" i="4"/>
  <c r="E33" i="4"/>
  <c r="F34" i="4"/>
  <c r="F35" i="4"/>
  <c r="F36" i="4"/>
  <c r="F37" i="4"/>
  <c r="F38" i="4"/>
  <c r="F39" i="4"/>
  <c r="F40" i="4"/>
  <c r="F41" i="4"/>
  <c r="F42" i="4"/>
  <c r="F43" i="4"/>
  <c r="F33" i="4"/>
  <c r="D34" i="4"/>
  <c r="D35" i="4"/>
  <c r="D36" i="4"/>
  <c r="D37" i="4"/>
  <c r="D38" i="4"/>
  <c r="D39" i="4"/>
  <c r="D40" i="4"/>
  <c r="D41" i="4"/>
  <c r="D42" i="4"/>
  <c r="D43" i="4"/>
  <c r="D33" i="4"/>
  <c r="A49" i="1"/>
  <c r="D49" i="1"/>
  <c r="D50" i="1"/>
  <c r="D51" i="1"/>
  <c r="D52" i="1"/>
  <c r="D53" i="1"/>
  <c r="D54" i="1"/>
  <c r="D55" i="1"/>
  <c r="D56" i="1"/>
  <c r="D48" i="1"/>
  <c r="F61" i="1" l="1"/>
  <c r="F40" i="1"/>
  <c r="A52" i="1" l="1"/>
  <c r="A51" i="1"/>
  <c r="A50" i="1"/>
  <c r="F16" i="1"/>
  <c r="C44" i="4" l="1"/>
  <c r="F45" i="3"/>
  <c r="F46" i="3"/>
  <c r="A46" i="3"/>
  <c r="A45" i="3"/>
  <c r="B5" i="3"/>
  <c r="C18" i="3" l="1"/>
  <c r="B17" i="3"/>
  <c r="A16" i="3"/>
  <c r="A15" i="3"/>
  <c r="B21" i="3"/>
  <c r="C15" i="3"/>
  <c r="C19" i="3"/>
  <c r="B18" i="3"/>
  <c r="A17" i="3"/>
  <c r="F42" i="3"/>
  <c r="C16" i="3"/>
  <c r="A22" i="3"/>
  <c r="C20" i="3"/>
  <c r="B19" i="3"/>
  <c r="A18" i="3"/>
  <c r="A20" i="3"/>
  <c r="B23" i="3"/>
  <c r="B16" i="3"/>
  <c r="C21" i="3"/>
  <c r="B20" i="3"/>
  <c r="A19" i="3"/>
  <c r="C22" i="3"/>
  <c r="C17" i="3"/>
  <c r="B15" i="3"/>
  <c r="C23" i="3"/>
  <c r="B22" i="3"/>
  <c r="A21" i="3"/>
  <c r="A23" i="3"/>
  <c r="G16" i="1"/>
  <c r="C57" i="1" l="1"/>
  <c r="F17" i="4"/>
  <c r="D10" i="4"/>
  <c r="B10" i="4"/>
  <c r="F6" i="3"/>
  <c r="F49" i="4" l="1"/>
  <c r="C24" i="4"/>
  <c r="C25" i="4"/>
  <c r="C26" i="4"/>
  <c r="A24" i="4"/>
  <c r="C27" i="4"/>
  <c r="A25" i="4"/>
  <c r="C28" i="4"/>
  <c r="A26" i="4"/>
  <c r="C22" i="4"/>
  <c r="C29" i="4"/>
  <c r="C30" i="4"/>
  <c r="C23" i="4"/>
  <c r="C37" i="3"/>
  <c r="C36" i="1" s="1"/>
  <c r="C31" i="4" l="1"/>
  <c r="C46" i="4" s="1"/>
  <c r="E7" i="4"/>
  <c r="B7" i="4"/>
  <c r="B6" i="4"/>
  <c r="F21" i="4"/>
  <c r="E21" i="4"/>
  <c r="D13" i="4"/>
  <c r="F13" i="4" s="1"/>
  <c r="F10" i="4"/>
  <c r="F14" i="3"/>
  <c r="D7" i="3"/>
  <c r="B10" i="3"/>
  <c r="B7" i="3"/>
  <c r="D19" i="1"/>
  <c r="B6" i="3"/>
  <c r="D6" i="3"/>
  <c r="A6" i="3"/>
  <c r="A43" i="1"/>
  <c r="A47" i="3" s="1"/>
  <c r="D10" i="3" l="1"/>
  <c r="F13" i="3" s="1"/>
  <c r="F19" i="1"/>
  <c r="C24" i="3"/>
  <c r="C39" i="3" s="1"/>
  <c r="A18" i="4"/>
  <c r="F7" i="3"/>
  <c r="D32" i="3" l="1"/>
  <c r="D27" i="3"/>
  <c r="E27" i="3" s="1"/>
  <c r="F27" i="3" s="1"/>
  <c r="D33" i="3"/>
  <c r="D30" i="3"/>
  <c r="D34" i="3"/>
  <c r="D28" i="3"/>
  <c r="E28" i="3" s="1"/>
  <c r="F28" i="3" s="1"/>
  <c r="D35" i="3"/>
  <c r="D36" i="3"/>
  <c r="D29" i="3"/>
  <c r="D26" i="3"/>
  <c r="E26" i="3" s="1"/>
  <c r="F26" i="3" s="1"/>
  <c r="D31" i="3"/>
  <c r="C41" i="3"/>
  <c r="C42" i="3" s="1"/>
  <c r="F10" i="3"/>
  <c r="E32" i="3" l="1"/>
  <c r="F32" i="3" s="1"/>
  <c r="E31" i="3"/>
  <c r="F31" i="3" s="1"/>
  <c r="E34" i="3"/>
  <c r="F34" i="3" s="1"/>
  <c r="E35" i="3"/>
  <c r="F35" i="3" s="1"/>
  <c r="E29" i="3"/>
  <c r="F29" i="3" s="1"/>
  <c r="E36" i="3"/>
  <c r="F36" i="3" s="1"/>
  <c r="E33" i="3"/>
  <c r="F33" i="3" s="1"/>
  <c r="E30" i="3"/>
  <c r="F30" i="3" s="1"/>
  <c r="D37" i="3"/>
  <c r="D36" i="1" s="1"/>
  <c r="E37" i="3" l="1"/>
  <c r="E36" i="1" s="1"/>
  <c r="F37" i="3"/>
  <c r="F36" i="1" s="1"/>
  <c r="F47" i="1"/>
  <c r="E47" i="1"/>
  <c r="E26" i="1"/>
  <c r="F26" i="1"/>
  <c r="A53" i="1" l="1"/>
  <c r="A27" i="4" s="1"/>
  <c r="A23" i="4"/>
  <c r="F70" i="1"/>
  <c r="F63" i="1" l="1"/>
  <c r="F53" i="4" s="1"/>
  <c r="F25" i="1"/>
  <c r="F15" i="4" s="1"/>
  <c r="C37" i="1"/>
  <c r="A48" i="1"/>
  <c r="A22" i="4" s="1"/>
  <c r="B48" i="1"/>
  <c r="B49" i="1"/>
  <c r="B50" i="1"/>
  <c r="B51" i="1"/>
  <c r="B52" i="1"/>
  <c r="B53" i="1"/>
  <c r="A54" i="1"/>
  <c r="A28" i="4" s="1"/>
  <c r="B54" i="1"/>
  <c r="A55" i="1"/>
  <c r="A29" i="4" s="1"/>
  <c r="B55" i="1"/>
  <c r="A56" i="1"/>
  <c r="A30" i="4" s="1"/>
  <c r="B56" i="1"/>
  <c r="C58" i="1"/>
  <c r="C64" i="1"/>
  <c r="C54" i="4" s="1"/>
  <c r="F64" i="1"/>
  <c r="F54" i="4" s="1"/>
  <c r="B25" i="4" l="1"/>
  <c r="F51" i="1"/>
  <c r="E51" i="1" s="1"/>
  <c r="B30" i="4"/>
  <c r="F56" i="1"/>
  <c r="E56" i="1" s="1"/>
  <c r="B24" i="4"/>
  <c r="F50" i="1"/>
  <c r="E50" i="1" s="1"/>
  <c r="B23" i="4"/>
  <c r="F49" i="1"/>
  <c r="E49" i="1" s="1"/>
  <c r="B28" i="4"/>
  <c r="F54" i="1"/>
  <c r="E54" i="1" s="1"/>
  <c r="B27" i="4"/>
  <c r="F53" i="1"/>
  <c r="E53" i="1" s="1"/>
  <c r="B29" i="4"/>
  <c r="F55" i="1"/>
  <c r="E55" i="1" s="1"/>
  <c r="B26" i="4"/>
  <c r="F52" i="1"/>
  <c r="E52" i="1" s="1"/>
  <c r="B22" i="4"/>
  <c r="F48" i="1"/>
  <c r="C48" i="4"/>
  <c r="C49" i="4" s="1"/>
  <c r="C60" i="1"/>
  <c r="C61" i="1" s="1"/>
  <c r="D24" i="4"/>
  <c r="D30" i="4"/>
  <c r="D22" i="4"/>
  <c r="D25" i="4"/>
  <c r="D26" i="4"/>
  <c r="D27" i="4"/>
  <c r="D29" i="4"/>
  <c r="D28" i="4"/>
  <c r="D23" i="4"/>
  <c r="F55" i="4"/>
  <c r="D27" i="1"/>
  <c r="D33" i="1"/>
  <c r="D21" i="3" s="1"/>
  <c r="D28" i="1"/>
  <c r="D16" i="3" s="1"/>
  <c r="D31" i="1"/>
  <c r="D19" i="3" s="1"/>
  <c r="D34" i="1"/>
  <c r="D22" i="3" s="1"/>
  <c r="D29" i="1"/>
  <c r="D17" i="3" s="1"/>
  <c r="D32" i="1"/>
  <c r="D20" i="3" s="1"/>
  <c r="D35" i="1"/>
  <c r="D23" i="3" s="1"/>
  <c r="D30" i="1"/>
  <c r="D18" i="3" s="1"/>
  <c r="C39" i="1"/>
  <c r="C40" i="1" s="1"/>
  <c r="F65" i="1"/>
  <c r="E27" i="1" l="1"/>
  <c r="D15" i="3"/>
  <c r="F27" i="1"/>
  <c r="F15" i="3" s="1"/>
  <c r="E15" i="3"/>
  <c r="D44" i="4"/>
  <c r="D57" i="1" s="1"/>
  <c r="D58" i="1" s="1"/>
  <c r="A59" i="1" s="1"/>
  <c r="F24" i="4"/>
  <c r="F26" i="4"/>
  <c r="D31" i="4"/>
  <c r="E34" i="1"/>
  <c r="E28" i="1"/>
  <c r="E33" i="1"/>
  <c r="E29" i="1"/>
  <c r="E31" i="1"/>
  <c r="E30" i="1"/>
  <c r="E35" i="1"/>
  <c r="E32" i="1"/>
  <c r="F25" i="4"/>
  <c r="F28" i="4"/>
  <c r="F30" i="4"/>
  <c r="F27" i="4"/>
  <c r="F22" i="4"/>
  <c r="F23" i="4"/>
  <c r="F29" i="4"/>
  <c r="D37" i="1"/>
  <c r="A38" i="1" s="1"/>
  <c r="F28" i="1" l="1"/>
  <c r="F16" i="3" s="1"/>
  <c r="E16" i="3"/>
  <c r="F34" i="1"/>
  <c r="F22" i="3" s="1"/>
  <c r="E22" i="3"/>
  <c r="F29" i="1"/>
  <c r="F17" i="3" s="1"/>
  <c r="E17" i="3"/>
  <c r="F32" i="1"/>
  <c r="F20" i="3" s="1"/>
  <c r="E20" i="3"/>
  <c r="F35" i="1"/>
  <c r="F23" i="3" s="1"/>
  <c r="E23" i="3"/>
  <c r="F30" i="1"/>
  <c r="F18" i="3" s="1"/>
  <c r="E18" i="3"/>
  <c r="F31" i="1"/>
  <c r="F19" i="3" s="1"/>
  <c r="E19" i="3"/>
  <c r="F33" i="1"/>
  <c r="F21" i="3" s="1"/>
  <c r="E21" i="3"/>
  <c r="D46" i="4"/>
  <c r="A47" i="4" s="1"/>
  <c r="E29" i="4"/>
  <c r="E24" i="4"/>
  <c r="E28" i="4"/>
  <c r="E25" i="4"/>
  <c r="E48" i="1"/>
  <c r="E22" i="4" s="1"/>
  <c r="F44" i="4"/>
  <c r="E26" i="4"/>
  <c r="D60" i="1"/>
  <c r="D61" i="1" s="1"/>
  <c r="E23" i="4"/>
  <c r="E27" i="4"/>
  <c r="E30" i="4"/>
  <c r="D24" i="3"/>
  <c r="D39" i="3" s="1"/>
  <c r="A40" i="3" s="1"/>
  <c r="D39" i="1"/>
  <c r="D40" i="1" s="1"/>
  <c r="E37" i="1"/>
  <c r="E39" i="1" s="1"/>
  <c r="D48" i="4" l="1"/>
  <c r="D49" i="4" s="1"/>
  <c r="E44" i="4"/>
  <c r="F57" i="1"/>
  <c r="F58" i="1" s="1"/>
  <c r="F60" i="1" s="1"/>
  <c r="D41" i="3"/>
  <c r="D42" i="3" s="1"/>
  <c r="E31" i="4"/>
  <c r="F31" i="4"/>
  <c r="F46" i="4" s="1"/>
  <c r="F48" i="4" s="1"/>
  <c r="F24" i="3"/>
  <c r="F39" i="3" s="1"/>
  <c r="F41" i="3" s="1"/>
  <c r="E24" i="3"/>
  <c r="E39" i="3" s="1"/>
  <c r="E41" i="3" s="1"/>
  <c r="F37" i="1"/>
  <c r="E40" i="1"/>
  <c r="F39" i="1" l="1"/>
  <c r="C66" i="1"/>
  <c r="E46" i="4"/>
  <c r="E48" i="4" s="1"/>
  <c r="E57" i="1"/>
  <c r="E58" i="1" s="1"/>
  <c r="E60" i="1" s="1"/>
  <c r="E61" i="1" s="1"/>
  <c r="E42" i="3"/>
  <c r="E14" i="3"/>
  <c r="C63" i="1" l="1"/>
  <c r="C65" i="1" s="1"/>
  <c r="C67" i="1" s="1"/>
  <c r="E49" i="4"/>
  <c r="C56" i="4"/>
  <c r="C53" i="4" l="1"/>
  <c r="C55" i="4" s="1"/>
  <c r="C57" i="4" s="1"/>
</calcChain>
</file>

<file path=xl/sharedStrings.xml><?xml version="1.0" encoding="utf-8"?>
<sst xmlns="http://schemas.openxmlformats.org/spreadsheetml/2006/main" count="217" uniqueCount="98">
  <si>
    <t>No</t>
  </si>
  <si>
    <t>Yes</t>
  </si>
  <si>
    <t>Y/N</t>
  </si>
  <si>
    <t>Employee or Administrator with the first hand knowledge of the employee's activities</t>
  </si>
  <si>
    <t>Signature</t>
  </si>
  <si>
    <t>% of P/T IBS DHHS Salary Cap of PT IBS</t>
  </si>
  <si>
    <t>P/T Institutional Base Salary (IBS)</t>
  </si>
  <si>
    <t>% of Base Charged to Sponsored Projects</t>
  </si>
  <si>
    <t>% Effort on DHHS Sponsored Studies:  % effort is different because it must take into account</t>
  </si>
  <si>
    <t>Notes:</t>
  </si>
  <si>
    <t>% Effort</t>
  </si>
  <si>
    <t>Account #s (Legacy / Cloud):</t>
  </si>
  <si>
    <t>Y/N?</t>
  </si>
  <si>
    <t>Remaining Effort and Base Salary</t>
  </si>
  <si>
    <t>If the project is sponsored by DHHS, salary requested is calculated by</t>
  </si>
  <si>
    <t>0255E271 / IF300001415</t>
  </si>
  <si>
    <t>0255D361 / IF134001480</t>
  </si>
  <si>
    <t>0255C391 / IF300001338</t>
  </si>
  <si>
    <t>If the project is not sponsored by DHHS, salary requested is calculated by</t>
  </si>
  <si>
    <t>0259A631 / IF300001291</t>
  </si>
  <si>
    <t>0255B531 / IF300001412</t>
  </si>
  <si>
    <t>These are the CM efforts from the sponsored project budgets.</t>
  </si>
  <si>
    <t>0255A613 / IF300001394</t>
  </si>
  <si>
    <t xml:space="preserve">Notes: </t>
  </si>
  <si>
    <t>02662236 / IN300001405</t>
  </si>
  <si>
    <t>02662051 / IN300001095</t>
  </si>
  <si>
    <t>02661111 / IN300001080</t>
  </si>
  <si>
    <r>
      <t>CM Equivalent of % Effort -</t>
    </r>
    <r>
      <rPr>
        <i/>
        <sz val="11"/>
        <color theme="1"/>
        <rFont val="Calibri"/>
        <family val="2"/>
        <scheme val="minor"/>
      </rPr>
      <t xml:space="preserve"> This is the % of the FTE above multiplied by 12 months.</t>
    </r>
  </si>
  <si>
    <t>Section 3 - Enter Calendar Month (CM) Effort from Sponsored Project Budgets</t>
  </si>
  <si>
    <t>NIH Salary Cap:</t>
  </si>
  <si>
    <t>Section 2 - Determine P/T Base to Use in DHHS Sponsored Project Budgets</t>
  </si>
  <si>
    <t>Section 1 - Determine if P/T Base is Above NIH Cap</t>
  </si>
  <si>
    <t>Paas Transaction No:</t>
  </si>
  <si>
    <t>Life No:</t>
  </si>
  <si>
    <t>Instructions</t>
  </si>
  <si>
    <t>Name of Employee:</t>
  </si>
  <si>
    <t>% of F/T Appt</t>
  </si>
  <si>
    <t>Section 6 - Effort and Allowable Salary</t>
  </si>
  <si>
    <t>Section 7 - Certification</t>
  </si>
  <si>
    <r>
      <t xml:space="preserve">Confirm with employee.  Is the budgeted effort the actual effort for </t>
    </r>
    <r>
      <rPr>
        <u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project?</t>
    </r>
  </si>
  <si>
    <t>F/T Inst. Base Salary Equivalent:</t>
  </si>
  <si>
    <t>This is to certify that the effort charged to project(s) as shown above is reasonable in relation to the work performed.</t>
  </si>
  <si>
    <t>Date:</t>
  </si>
  <si>
    <t>Annual Allowable Salary on PaaS Transactions</t>
  </si>
  <si>
    <t>P/T Inst. Base Salary at NIH Cap</t>
  </si>
  <si>
    <t>P/T Inst. Base Salary</t>
  </si>
  <si>
    <t>DHHS? Y/N</t>
  </si>
  <si>
    <t>CM Effort</t>
  </si>
  <si>
    <r>
      <t xml:space="preserve">Complete this section if actual effort </t>
    </r>
    <r>
      <rPr>
        <i/>
        <u/>
        <sz val="11"/>
        <color theme="1"/>
        <rFont val="Calibri"/>
        <family val="2"/>
        <scheme val="minor"/>
      </rPr>
      <t>differs</t>
    </r>
    <r>
      <rPr>
        <i/>
        <sz val="11"/>
        <color theme="1"/>
        <rFont val="Calibri"/>
        <family val="2"/>
        <scheme val="minor"/>
      </rPr>
      <t xml:space="preserve"> from budgeted effort on </t>
    </r>
    <r>
      <rPr>
        <i/>
        <u/>
        <sz val="11"/>
        <color theme="1"/>
        <rFont val="Calibri"/>
        <family val="2"/>
        <scheme val="minor"/>
      </rPr>
      <t>one or more</t>
    </r>
    <r>
      <rPr>
        <i/>
        <sz val="11"/>
        <color theme="1"/>
        <rFont val="Calibri"/>
        <family val="2"/>
        <scheme val="minor"/>
      </rPr>
      <t xml:space="preserve"> projects. Enter CM for all projects.</t>
    </r>
  </si>
  <si>
    <t xml:space="preserve">%-age of Salary That Must Be                            Restricted for Cost Sharing </t>
  </si>
  <si>
    <t xml:space="preserve">Section 4  Confirm Whether the Budgeted Effort is the SAME as the Actual Effort       </t>
  </si>
  <si>
    <t>Section 5  Process Salary Source Transactions When Budgeted and Actual Effort Differ</t>
  </si>
  <si>
    <t>P/T Institutional Base Salary:</t>
  </si>
  <si>
    <t>P/T Institutional Base Salary at NIH Salary Cap</t>
  </si>
  <si>
    <t>Subtotal of Additional Accounts</t>
  </si>
  <si>
    <t>0259D611 / IF300001425</t>
  </si>
  <si>
    <t>0259D613 / IF300001316</t>
  </si>
  <si>
    <t>Addtitional Accounts</t>
  </si>
  <si>
    <t>Section 3 - Subtotal from Main Page</t>
  </si>
  <si>
    <t>Section 5 - Subtotal from Main Page</t>
  </si>
  <si>
    <t>Additional Accounts</t>
  </si>
  <si>
    <t xml:space="preserve"> When Budgeted and Actual Effort Differ</t>
  </si>
  <si>
    <t>boxes. In each yellow row, enter account no., answer whether this is a DHHS sponsored project, and enter the CM effort.</t>
  </si>
  <si>
    <t>multiplying the % effort by the actual p/t base (Cell B16).</t>
  </si>
  <si>
    <t>multiplying the % effort by the P/T NIH cap (Cell F19).</t>
  </si>
  <si>
    <t>Use this form to add more accounts. Information in gray boxes is from the main form. Enter information in the yellow</t>
  </si>
  <si>
    <t>From "Section 3 Add Accounts" tab</t>
  </si>
  <si>
    <t>From "Section 5 Add Accounts" tab</t>
  </si>
  <si>
    <t>Please print out this sheet and attach to the main form.</t>
  </si>
  <si>
    <t>Part-Time Employees Above NIH Salary Cap</t>
  </si>
  <si>
    <t>Effort and Salary Source Transaction Form</t>
  </si>
  <si>
    <t>Section 3 Grand Total</t>
  </si>
  <si>
    <r>
      <t xml:space="preserve">Confirm with employee.  Is the budgeted effort the actual effort for </t>
    </r>
    <r>
      <rPr>
        <i/>
        <u/>
        <sz val="11"/>
        <color theme="1"/>
        <rFont val="Calibri"/>
        <family val="2"/>
        <scheme val="minor"/>
      </rPr>
      <t>each</t>
    </r>
    <r>
      <rPr>
        <i/>
        <sz val="11"/>
        <color theme="1"/>
        <rFont val="Calibri"/>
        <family val="2"/>
        <scheme val="minor"/>
      </rPr>
      <t xml:space="preserve"> project?</t>
    </r>
  </si>
  <si>
    <t>Sponsored Project Effort and Salary Total</t>
  </si>
  <si>
    <t>the NIH cap. The formula in Column F is the % effort multiplied by the %-age of the NIH cap over the actual base.</t>
  </si>
  <si>
    <t>Section 5 Grand Total</t>
  </si>
  <si>
    <t>Use this form to add more accounts. Data in gray boxes is from the main form. Enter information in the yellow</t>
  </si>
  <si>
    <t>Section 5 Additional Accounts:</t>
  </si>
  <si>
    <t>Recommended Zoom at 100% for "View" in "Normal" setting.</t>
  </si>
  <si>
    <t>% Effort on Non - DHHS Sponsored Studies:  % effort (numerator) is the SAME %  in salary source transactions</t>
  </si>
  <si>
    <t>Denominator is p/t base salary. HR salary source transaction always uses actual base salary</t>
  </si>
  <si>
    <t>Additional Notes for Column F:</t>
  </si>
  <si>
    <t>.</t>
  </si>
  <si>
    <t>Sponsored Project Salary on PaaS Transactions</t>
  </si>
  <si>
    <t>In each row, enter account no., answer whether this is a DHHS sponsored project, and enter the CM effort for each sponsored project</t>
  </si>
  <si>
    <t xml:space="preserve">% Effort on DHHS Sponsored Studies:  % effort (numerator) in budget is different than HR salary source transaction if the employee is over the NIH cap.  </t>
  </si>
  <si>
    <t>% Effort on Non-DHHS Sponsored Studies:  % effort is the SAME as on salary source transactions. There is no cap to factor in.</t>
  </si>
  <si>
    <t>PaaS Transaction No:</t>
  </si>
  <si>
    <t>Section 3 Additional Accounts for Sponsored Project Budgets</t>
  </si>
  <si>
    <t>Total % Effort on Sponsored Projects</t>
  </si>
  <si>
    <t>-</t>
  </si>
  <si>
    <t xml:space="preserve">The form must be completed and signed by the employee or authorized person with the first-hand knowledge of the employee’s activities and </t>
  </si>
  <si>
    <t>and attached to each PaaS salary source transaction.</t>
  </si>
  <si>
    <t>Follow instructions in each section.  Enter information in the yellow boxes. The form autocalculates and factors in the DHHS salary cap on DHHS</t>
  </si>
  <si>
    <t>sponsored projects. The cap is commonly referred to as the NIH Salary Cap and will be referred to as such on this form.</t>
  </si>
  <si>
    <t xml:space="preserve">This form is required for all part-time employees whose institutional base salary is above the Department of Health and Human Services (DHHS) cap. </t>
  </si>
  <si>
    <t>If you have additional sponsored project accounts, enter them in the "Section 5 Add Accounts" tab.</t>
  </si>
  <si>
    <t>budget. If you have additional sponsored project budgets, enter them in the "Section 3 Add Accounts"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</si>
</sst>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_(* #,##0_);_(* \(#,##0\);_(* &quot;-&quot;??_);_(@_)"/>
    <numFmt numFmtId="169" formatCode="m/d/yy;@"/>
    <numFmt numFmtId="170" formatCode="_(* #,##0.00_);_(* \(#,##0.00\);_(* &quot;-&quot;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9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43" fontId="0" fillId="2" borderId="0" xfId="0" applyNumberFormat="1" applyFill="1" applyProtection="1">
      <protection locked="0"/>
    </xf>
    <xf numFmtId="0" fontId="0" fillId="2" borderId="0" xfId="0" applyFont="1" applyFill="1" applyProtection="1">
      <protection locked="0"/>
    </xf>
    <xf numFmtId="165" fontId="0" fillId="2" borderId="0" xfId="0" applyNumberFormat="1" applyFill="1" applyBorder="1" applyProtection="1">
      <protection locked="0"/>
    </xf>
    <xf numFmtId="43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>
      <protection locked="0"/>
    </xf>
    <xf numFmtId="41" fontId="0" fillId="2" borderId="0" xfId="0" applyNumberFormat="1" applyFill="1" applyProtection="1"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49" fontId="5" fillId="2" borderId="0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6" fontId="0" fillId="2" borderId="0" xfId="3" applyNumberFormat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0" fontId="0" fillId="2" borderId="0" xfId="0" applyFont="1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0" fontId="0" fillId="2" borderId="0" xfId="3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/>
    <xf numFmtId="167" fontId="0" fillId="2" borderId="0" xfId="3" applyNumberFormat="1" applyFont="1" applyFill="1" applyProtection="1">
      <protection locked="0"/>
    </xf>
    <xf numFmtId="41" fontId="5" fillId="2" borderId="0" xfId="0" applyNumberFormat="1" applyFont="1" applyFill="1" applyBorder="1" applyProtection="1"/>
    <xf numFmtId="43" fontId="0" fillId="2" borderId="0" xfId="1" applyFont="1" applyFill="1" applyProtection="1">
      <protection locked="0"/>
    </xf>
    <xf numFmtId="44" fontId="6" fillId="2" borderId="0" xfId="0" applyNumberFormat="1" applyFont="1" applyFill="1" applyBorder="1" applyProtection="1">
      <protection locked="0"/>
    </xf>
    <xf numFmtId="43" fontId="0" fillId="2" borderId="0" xfId="1" applyFont="1" applyFill="1" applyBorder="1" applyAlignment="1" applyProtection="1">
      <alignment horizontal="right"/>
      <protection locked="0"/>
    </xf>
    <xf numFmtId="165" fontId="0" fillId="2" borderId="0" xfId="0" applyNumberFormat="1" applyFill="1" applyProtection="1">
      <protection locked="0"/>
    </xf>
    <xf numFmtId="43" fontId="0" fillId="2" borderId="0" xfId="1" applyFont="1" applyFill="1" applyBorder="1" applyAlignment="1" applyProtection="1">
      <alignment horizontal="right"/>
    </xf>
    <xf numFmtId="164" fontId="0" fillId="2" borderId="0" xfId="1" applyNumberFormat="1" applyFont="1" applyFill="1" applyBorder="1" applyProtection="1">
      <protection locked="0"/>
    </xf>
    <xf numFmtId="165" fontId="3" fillId="2" borderId="0" xfId="2" applyNumberFormat="1" applyFont="1" applyFill="1" applyBorder="1" applyProtection="1">
      <protection locked="0"/>
    </xf>
    <xf numFmtId="10" fontId="3" fillId="2" borderId="0" xfId="3" applyNumberFormat="1" applyFont="1" applyFill="1" applyBorder="1" applyProtection="1">
      <protection locked="0"/>
    </xf>
    <xf numFmtId="166" fontId="5" fillId="2" borderId="0" xfId="3" applyNumberFormat="1" applyFont="1" applyFill="1" applyBorder="1" applyAlignment="1" applyProtection="1">
      <alignment horizontal="right"/>
      <protection locked="0"/>
    </xf>
    <xf numFmtId="44" fontId="0" fillId="2" borderId="0" xfId="0" applyNumberForma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166" fontId="0" fillId="2" borderId="0" xfId="0" applyNumberFormat="1" applyFill="1" applyBorder="1" applyAlignment="1" applyProtection="1">
      <alignment horizontal="left"/>
      <protection locked="0"/>
    </xf>
    <xf numFmtId="166" fontId="0" fillId="2" borderId="0" xfId="0" applyNumberFormat="1" applyFill="1" applyBorder="1" applyProtection="1"/>
    <xf numFmtId="43" fontId="5" fillId="3" borderId="0" xfId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Protection="1">
      <protection locked="0"/>
    </xf>
    <xf numFmtId="9" fontId="5" fillId="2" borderId="0" xfId="3" applyFont="1" applyFill="1" applyBorder="1" applyAlignment="1" applyProtection="1">
      <alignment horizontal="right"/>
      <protection locked="0"/>
    </xf>
    <xf numFmtId="166" fontId="5" fillId="2" borderId="0" xfId="3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ill="1"/>
    <xf numFmtId="0" fontId="0" fillId="4" borderId="0" xfId="0" applyFill="1"/>
    <xf numFmtId="0" fontId="3" fillId="4" borderId="0" xfId="0" applyFont="1" applyFill="1"/>
    <xf numFmtId="49" fontId="5" fillId="3" borderId="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3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2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2" borderId="0" xfId="0" quotePrefix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 vertical="top"/>
      <protection locked="0"/>
    </xf>
    <xf numFmtId="168" fontId="3" fillId="2" borderId="0" xfId="1" applyNumberFormat="1" applyFont="1" applyFill="1" applyBorder="1" applyAlignment="1" applyProtection="1">
      <alignment vertical="top"/>
    </xf>
    <xf numFmtId="168" fontId="0" fillId="3" borderId="0" xfId="1" applyNumberFormat="1" applyFont="1" applyFill="1" applyBorder="1" applyAlignment="1" applyProtection="1">
      <alignment vertical="center"/>
      <protection locked="0"/>
    </xf>
    <xf numFmtId="10" fontId="9" fillId="3" borderId="0" xfId="3" applyNumberFormat="1" applyFont="1" applyFill="1" applyBorder="1" applyAlignment="1" applyProtection="1">
      <alignment horizontal="right"/>
      <protection locked="0"/>
    </xf>
    <xf numFmtId="168" fontId="0" fillId="2" borderId="0" xfId="1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  <protection locked="0"/>
    </xf>
    <xf numFmtId="165" fontId="3" fillId="2" borderId="0" xfId="2" quotePrefix="1" applyNumberFormat="1" applyFon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43" fontId="3" fillId="2" borderId="0" xfId="1" applyFont="1" applyFill="1" applyBorder="1" applyAlignment="1" applyProtection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quotePrefix="1" applyFont="1" applyFill="1" applyBorder="1" applyProtection="1">
      <protection locked="0"/>
    </xf>
    <xf numFmtId="0" fontId="13" fillId="2" borderId="0" xfId="0" quotePrefix="1" applyFont="1" applyFill="1" applyBorder="1" applyAlignment="1" applyProtection="1">
      <alignment horizontal="right"/>
      <protection locked="0"/>
    </xf>
    <xf numFmtId="10" fontId="0" fillId="2" borderId="4" xfId="3" applyNumberFormat="1" applyFont="1" applyFill="1" applyBorder="1" applyProtection="1"/>
    <xf numFmtId="168" fontId="0" fillId="2" borderId="4" xfId="1" applyNumberFormat="1" applyFont="1" applyFill="1" applyBorder="1" applyProtection="1"/>
    <xf numFmtId="168" fontId="6" fillId="2" borderId="4" xfId="2" applyNumberFormat="1" applyFont="1" applyFill="1" applyBorder="1" applyProtection="1"/>
    <xf numFmtId="10" fontId="9" fillId="2" borderId="4" xfId="3" applyNumberFormat="1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166" fontId="0" fillId="5" borderId="0" xfId="3" applyNumberFormat="1" applyFont="1" applyFill="1" applyBorder="1" applyProtection="1"/>
    <xf numFmtId="166" fontId="0" fillId="5" borderId="2" xfId="3" applyNumberFormat="1" applyFont="1" applyFill="1" applyBorder="1" applyProtection="1"/>
    <xf numFmtId="10" fontId="0" fillId="2" borderId="0" xfId="0" applyNumberFormat="1" applyFill="1" applyBorder="1" applyAlignment="1" applyProtection="1">
      <alignment vertical="top"/>
      <protection locked="0"/>
    </xf>
    <xf numFmtId="0" fontId="14" fillId="2" borderId="0" xfId="0" applyFont="1" applyFill="1" applyProtection="1">
      <protection locked="0"/>
    </xf>
    <xf numFmtId="41" fontId="0" fillId="5" borderId="1" xfId="0" applyNumberFormat="1" applyFill="1" applyBorder="1" applyProtection="1"/>
    <xf numFmtId="41" fontId="0" fillId="3" borderId="0" xfId="0" applyNumberFormat="1" applyFill="1" applyBorder="1" applyAlignment="1" applyProtection="1">
      <alignment horizontal="center"/>
      <protection locked="0"/>
    </xf>
    <xf numFmtId="168" fontId="0" fillId="2" borderId="0" xfId="1" applyNumberFormat="1" applyFont="1" applyFill="1" applyBorder="1" applyProtection="1"/>
    <xf numFmtId="168" fontId="0" fillId="2" borderId="2" xfId="1" applyNumberFormat="1" applyFont="1" applyFill="1" applyBorder="1" applyProtection="1"/>
    <xf numFmtId="10" fontId="0" fillId="2" borderId="0" xfId="3" applyNumberFormat="1" applyFont="1" applyFill="1" applyBorder="1" applyProtection="1"/>
    <xf numFmtId="169" fontId="0" fillId="2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locked="0"/>
    </xf>
    <xf numFmtId="166" fontId="0" fillId="0" borderId="0" xfId="3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8" fontId="0" fillId="6" borderId="0" xfId="1" applyNumberFormat="1" applyFont="1" applyFill="1" applyBorder="1" applyAlignment="1" applyProtection="1">
      <alignment horizontal="right"/>
    </xf>
    <xf numFmtId="49" fontId="0" fillId="6" borderId="0" xfId="0" applyNumberFormat="1" applyFill="1" applyBorder="1" applyProtection="1"/>
    <xf numFmtId="0" fontId="5" fillId="2" borderId="0" xfId="4" applyNumberFormat="1" applyFont="1" applyFill="1" applyBorder="1" applyAlignment="1" applyProtection="1">
      <alignment horizontal="left"/>
      <protection locked="0"/>
    </xf>
    <xf numFmtId="44" fontId="0" fillId="2" borderId="0" xfId="0" applyNumberFormat="1" applyFill="1" applyBorder="1" applyAlignment="1" applyProtection="1">
      <alignment horizontal="right"/>
      <protection locked="0"/>
    </xf>
    <xf numFmtId="43" fontId="6" fillId="2" borderId="0" xfId="1" applyFont="1" applyFill="1" applyBorder="1" applyAlignment="1" applyProtection="1">
      <alignment horizontal="right"/>
    </xf>
    <xf numFmtId="166" fontId="9" fillId="2" borderId="0" xfId="1" applyNumberFormat="1" applyFont="1" applyFill="1" applyBorder="1" applyAlignment="1" applyProtection="1">
      <alignment horizontal="right"/>
    </xf>
    <xf numFmtId="168" fontId="6" fillId="2" borderId="0" xfId="1" applyNumberFormat="1" applyFont="1" applyFill="1" applyBorder="1" applyAlignment="1" applyProtection="1">
      <alignment horizontal="right"/>
    </xf>
    <xf numFmtId="49" fontId="15" fillId="3" borderId="0" xfId="0" applyNumberFormat="1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right"/>
      <protection locked="0"/>
    </xf>
    <xf numFmtId="166" fontId="0" fillId="6" borderId="2" xfId="0" applyNumberFormat="1" applyFill="1" applyBorder="1" applyProtection="1"/>
    <xf numFmtId="41" fontId="0" fillId="6" borderId="2" xfId="0" applyNumberFormat="1" applyFill="1" applyBorder="1" applyProtection="1"/>
    <xf numFmtId="49" fontId="5" fillId="6" borderId="2" xfId="0" applyNumberFormat="1" applyFont="1" applyFill="1" applyBorder="1" applyAlignment="1" applyProtection="1">
      <alignment horizontal="center"/>
    </xf>
    <xf numFmtId="49" fontId="8" fillId="2" borderId="6" xfId="0" applyNumberFormat="1" applyFont="1" applyFill="1" applyBorder="1" applyProtection="1">
      <protection locked="0"/>
    </xf>
    <xf numFmtId="49" fontId="5" fillId="2" borderId="6" xfId="0" applyNumberFormat="1" applyFont="1" applyFill="1" applyBorder="1" applyAlignment="1" applyProtection="1">
      <alignment horizontal="center" vertical="top"/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6" fontId="5" fillId="2" borderId="6" xfId="3" applyNumberFormat="1" applyFont="1" applyFill="1" applyBorder="1" applyAlignment="1" applyProtection="1">
      <alignment horizontal="right"/>
      <protection locked="0"/>
    </xf>
    <xf numFmtId="168" fontId="5" fillId="2" borderId="6" xfId="1" applyNumberFormat="1" applyFont="1" applyFill="1" applyBorder="1" applyAlignment="1" applyProtection="1">
      <alignment horizontal="right"/>
      <protection locked="0"/>
    </xf>
    <xf numFmtId="166" fontId="0" fillId="2" borderId="6" xfId="3" applyNumberFormat="1" applyFont="1" applyFill="1" applyBorder="1" applyProtection="1">
      <protection locked="0"/>
    </xf>
    <xf numFmtId="43" fontId="8" fillId="2" borderId="0" xfId="1" applyFont="1" applyFill="1" applyBorder="1" applyAlignment="1" applyProtection="1">
      <alignment horizontal="right"/>
    </xf>
    <xf numFmtId="49" fontId="17" fillId="6" borderId="2" xfId="0" applyNumberFormat="1" applyFont="1" applyFill="1" applyBorder="1" applyProtection="1"/>
    <xf numFmtId="0" fontId="0" fillId="2" borderId="0" xfId="0" applyFill="1" applyBorder="1"/>
    <xf numFmtId="0" fontId="14" fillId="2" borderId="0" xfId="0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6" fontId="5" fillId="0" borderId="0" xfId="3" applyNumberFormat="1" applyFont="1" applyFill="1" applyBorder="1" applyAlignment="1" applyProtection="1">
      <alignment horizontal="center"/>
      <protection locked="0"/>
    </xf>
    <xf numFmtId="164" fontId="0" fillId="0" borderId="0" xfId="1" applyNumberFormat="1" applyFont="1" applyFill="1" applyBorder="1" applyProtection="1">
      <protection locked="0"/>
    </xf>
    <xf numFmtId="166" fontId="5" fillId="0" borderId="0" xfId="3" applyNumberFormat="1" applyFont="1" applyFill="1" applyBorder="1" applyAlignment="1" applyProtection="1">
      <alignment horizontal="right"/>
      <protection locked="0"/>
    </xf>
    <xf numFmtId="9" fontId="5" fillId="0" borderId="0" xfId="3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166" fontId="3" fillId="2" borderId="2" xfId="0" applyNumberFormat="1" applyFont="1" applyFill="1" applyBorder="1" applyAlignment="1" applyProtection="1">
      <alignment horizontal="center"/>
    </xf>
    <xf numFmtId="166" fontId="3" fillId="2" borderId="2" xfId="0" applyNumberFormat="1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center"/>
    </xf>
    <xf numFmtId="49" fontId="5" fillId="6" borderId="0" xfId="0" applyNumberFormat="1" applyFont="1" applyFill="1" applyBorder="1" applyAlignment="1" applyProtection="1">
      <alignment horizontal="center" vertical="top"/>
    </xf>
    <xf numFmtId="49" fontId="8" fillId="6" borderId="0" xfId="0" applyNumberFormat="1" applyFont="1" applyFill="1" applyBorder="1" applyProtection="1"/>
    <xf numFmtId="2" fontId="8" fillId="6" borderId="0" xfId="0" applyNumberFormat="1" applyFont="1" applyFill="1" applyBorder="1" applyAlignment="1" applyProtection="1">
      <alignment horizontal="right"/>
    </xf>
    <xf numFmtId="166" fontId="8" fillId="6" borderId="0" xfId="3" applyNumberFormat="1" applyFont="1" applyFill="1" applyBorder="1" applyAlignment="1" applyProtection="1">
      <alignment horizontal="right"/>
    </xf>
    <xf numFmtId="168" fontId="8" fillId="6" borderId="0" xfId="1" applyNumberFormat="1" applyFont="1" applyFill="1" applyBorder="1" applyAlignment="1" applyProtection="1">
      <alignment horizontal="right"/>
    </xf>
    <xf numFmtId="166" fontId="3" fillId="5" borderId="0" xfId="3" applyNumberFormat="1" applyFont="1" applyFill="1" applyBorder="1" applyProtection="1"/>
    <xf numFmtId="166" fontId="8" fillId="2" borderId="0" xfId="3" applyNumberFormat="1" applyFont="1" applyFill="1" applyBorder="1" applyAlignment="1" applyProtection="1">
      <alignment horizontal="right"/>
    </xf>
    <xf numFmtId="168" fontId="3" fillId="2" borderId="0" xfId="1" applyNumberFormat="1" applyFont="1" applyFill="1" applyBorder="1" applyProtection="1"/>
    <xf numFmtId="166" fontId="3" fillId="2" borderId="0" xfId="3" applyNumberFormat="1" applyFont="1" applyFill="1" applyBorder="1" applyProtection="1"/>
    <xf numFmtId="43" fontId="3" fillId="2" borderId="0" xfId="1" applyFont="1" applyFill="1" applyBorder="1" applyProtection="1"/>
    <xf numFmtId="49" fontId="5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166" fontId="3" fillId="5" borderId="2" xfId="0" applyNumberFormat="1" applyFont="1" applyFill="1" applyBorder="1" applyAlignment="1" applyProtection="1">
      <alignment horizontal="center"/>
    </xf>
    <xf numFmtId="41" fontId="3" fillId="5" borderId="0" xfId="1" applyNumberFormat="1" applyFont="1" applyFill="1" applyBorder="1" applyProtection="1"/>
    <xf numFmtId="2" fontId="3" fillId="2" borderId="0" xfId="0" applyNumberFormat="1" applyFont="1" applyFill="1" applyBorder="1" applyProtection="1"/>
    <xf numFmtId="0" fontId="11" fillId="2" borderId="0" xfId="0" applyFont="1" applyFill="1" applyBorder="1" applyProtection="1"/>
    <xf numFmtId="0" fontId="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13" fillId="2" borderId="0" xfId="0" quotePrefix="1" applyFont="1" applyFill="1" applyBorder="1" applyProtection="1"/>
    <xf numFmtId="0" fontId="0" fillId="2" borderId="0" xfId="0" quotePrefix="1" applyFont="1" applyFill="1" applyBorder="1" applyProtection="1"/>
    <xf numFmtId="0" fontId="13" fillId="2" borderId="0" xfId="0" quotePrefix="1" applyFont="1" applyFill="1" applyBorder="1" applyAlignment="1" applyProtection="1">
      <alignment horizontal="right"/>
    </xf>
    <xf numFmtId="10" fontId="0" fillId="2" borderId="0" xfId="0" applyNumberForma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5" fillId="2" borderId="2" xfId="4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 vertical="center" wrapText="1"/>
    </xf>
    <xf numFmtId="168" fontId="0" fillId="6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 vertical="top"/>
    </xf>
    <xf numFmtId="10" fontId="9" fillId="6" borderId="0" xfId="3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</xf>
    <xf numFmtId="166" fontId="0" fillId="2" borderId="0" xfId="3" applyNumberFormat="1" applyFont="1" applyFill="1" applyBorder="1" applyProtection="1"/>
    <xf numFmtId="164" fontId="0" fillId="2" borderId="0" xfId="1" applyNumberFormat="1" applyFont="1" applyFill="1" applyBorder="1" applyProtection="1"/>
    <xf numFmtId="42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indent="1"/>
    </xf>
    <xf numFmtId="37" fontId="0" fillId="2" borderId="0" xfId="1" applyNumberFormat="1" applyFont="1" applyFill="1" applyBorder="1" applyAlignment="1" applyProtection="1">
      <alignment horizontal="right" vertical="top"/>
    </xf>
    <xf numFmtId="165" fontId="3" fillId="2" borderId="0" xfId="2" quotePrefix="1" applyNumberFormat="1" applyFont="1" applyFill="1" applyBorder="1" applyAlignment="1" applyProtection="1">
      <alignment horizontal="center" vertical="top"/>
    </xf>
    <xf numFmtId="10" fontId="0" fillId="2" borderId="0" xfId="0" applyNumberFormat="1" applyFill="1" applyBorder="1" applyProtection="1"/>
    <xf numFmtId="41" fontId="0" fillId="6" borderId="3" xfId="0" applyNumberFormat="1" applyFill="1" applyBorder="1" applyProtection="1"/>
    <xf numFmtId="0" fontId="5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41" fontId="3" fillId="2" borderId="2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Protection="1"/>
    <xf numFmtId="44" fontId="0" fillId="2" borderId="0" xfId="0" applyNumberFormat="1" applyFont="1" applyFill="1" applyBorder="1" applyProtection="1"/>
    <xf numFmtId="44" fontId="6" fillId="2" borderId="0" xfId="0" applyNumberFormat="1" applyFont="1" applyFill="1" applyBorder="1" applyProtection="1"/>
    <xf numFmtId="41" fontId="0" fillId="3" borderId="0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Protection="1"/>
    <xf numFmtId="168" fontId="3" fillId="5" borderId="2" xfId="0" applyNumberFormat="1" applyFont="1" applyFill="1" applyBorder="1" applyAlignment="1" applyProtection="1">
      <alignment horizontal="center"/>
    </xf>
    <xf numFmtId="43" fontId="3" fillId="6" borderId="0" xfId="0" applyNumberFormat="1" applyFont="1" applyFill="1" applyBorder="1" applyProtection="1"/>
    <xf numFmtId="168" fontId="3" fillId="6" borderId="0" xfId="0" applyNumberFormat="1" applyFont="1" applyFill="1" applyBorder="1" applyProtection="1"/>
    <xf numFmtId="166" fontId="3" fillId="6" borderId="0" xfId="3" applyNumberFormat="1" applyFont="1" applyFill="1" applyBorder="1" applyProtection="1"/>
    <xf numFmtId="166" fontId="0" fillId="6" borderId="2" xfId="3" applyNumberFormat="1" applyFont="1" applyFill="1" applyBorder="1" applyProtection="1"/>
    <xf numFmtId="41" fontId="0" fillId="2" borderId="0" xfId="1" applyNumberFormat="1" applyFont="1" applyFill="1" applyBorder="1" applyProtection="1">
      <protection locked="0"/>
    </xf>
    <xf numFmtId="168" fontId="6" fillId="2" borderId="0" xfId="2" applyNumberFormat="1" applyFont="1" applyFill="1" applyBorder="1" applyProtection="1"/>
    <xf numFmtId="10" fontId="9" fillId="2" borderId="0" xfId="3" applyNumberFormat="1" applyFont="1" applyFill="1" applyBorder="1" applyProtection="1"/>
    <xf numFmtId="2" fontId="3" fillId="2" borderId="0" xfId="0" applyNumberFormat="1" applyFont="1" applyFill="1" applyBorder="1" applyAlignment="1" applyProtection="1">
      <alignment horizontal="right"/>
    </xf>
    <xf numFmtId="166" fontId="3" fillId="2" borderId="0" xfId="3" applyNumberFormat="1" applyFont="1" applyFill="1" applyBorder="1" applyAlignment="1" applyProtection="1">
      <alignment horizontal="right"/>
    </xf>
    <xf numFmtId="166" fontId="0" fillId="2" borderId="4" xfId="3" applyNumberFormat="1" applyFont="1" applyFill="1" applyBorder="1" applyProtection="1"/>
    <xf numFmtId="166" fontId="9" fillId="2" borderId="4" xfId="3" applyNumberFormat="1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top"/>
    </xf>
    <xf numFmtId="0" fontId="7" fillId="2" borderId="0" xfId="0" applyFont="1" applyFill="1" applyBorder="1" applyProtection="1"/>
    <xf numFmtId="44" fontId="0" fillId="2" borderId="0" xfId="0" applyNumberFormat="1" applyFill="1" applyBorder="1" applyProtection="1"/>
    <xf numFmtId="165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vertical="center"/>
    </xf>
    <xf numFmtId="43" fontId="5" fillId="6" borderId="2" xfId="1" applyFont="1" applyFill="1" applyBorder="1" applyAlignment="1" applyProtection="1">
      <alignment horizontal="right"/>
    </xf>
    <xf numFmtId="0" fontId="3" fillId="2" borderId="0" xfId="0" applyNumberFormat="1" applyFont="1" applyFill="1" applyBorder="1" applyProtection="1"/>
    <xf numFmtId="0" fontId="7" fillId="2" borderId="0" xfId="0" applyNumberFormat="1" applyFont="1" applyFill="1" applyBorder="1" applyProtection="1"/>
    <xf numFmtId="166" fontId="9" fillId="2" borderId="0" xfId="3" applyNumberFormat="1" applyFont="1" applyFill="1" applyBorder="1" applyProtection="1"/>
    <xf numFmtId="41" fontId="3" fillId="2" borderId="0" xfId="0" applyNumberFormat="1" applyFont="1" applyFill="1" applyBorder="1" applyAlignment="1" applyProtection="1">
      <alignment horizontal="right"/>
    </xf>
    <xf numFmtId="2" fontId="0" fillId="6" borderId="2" xfId="0" applyNumberFormat="1" applyFill="1" applyBorder="1" applyProtection="1"/>
    <xf numFmtId="49" fontId="0" fillId="2" borderId="0" xfId="0" applyNumberFormat="1" applyFill="1" applyBorder="1" applyProtection="1"/>
    <xf numFmtId="44" fontId="0" fillId="2" borderId="2" xfId="0" applyNumberFormat="1" applyFill="1" applyBorder="1" applyAlignment="1" applyProtection="1">
      <alignment horizontal="right"/>
    </xf>
    <xf numFmtId="169" fontId="0" fillId="2" borderId="0" xfId="0" applyNumberFormat="1" applyFill="1" applyBorder="1" applyProtection="1"/>
    <xf numFmtId="0" fontId="0" fillId="2" borderId="5" xfId="0" applyFill="1" applyBorder="1" applyProtection="1"/>
    <xf numFmtId="0" fontId="3" fillId="4" borderId="0" xfId="0" applyFont="1" applyFill="1" applyProtection="1"/>
    <xf numFmtId="0" fontId="0" fillId="4" borderId="0" xfId="0" applyFill="1" applyProtection="1"/>
    <xf numFmtId="0" fontId="0" fillId="4" borderId="0" xfId="0" applyFill="1" applyBorder="1" applyProtection="1"/>
    <xf numFmtId="0" fontId="7" fillId="4" borderId="0" xfId="0" applyFont="1" applyFill="1" applyBorder="1" applyProtection="1"/>
    <xf numFmtId="0" fontId="0" fillId="6" borderId="0" xfId="0" applyNumberFormat="1" applyFont="1" applyFill="1" applyBorder="1" applyAlignment="1" applyProtection="1">
      <alignment vertical="top"/>
    </xf>
    <xf numFmtId="49" fontId="3" fillId="6" borderId="0" xfId="0" applyNumberFormat="1" applyFont="1" applyFill="1" applyBorder="1" applyAlignment="1" applyProtection="1">
      <alignment vertical="top"/>
    </xf>
    <xf numFmtId="49" fontId="0" fillId="6" borderId="0" xfId="0" applyNumberFormat="1" applyFont="1" applyFill="1" applyBorder="1" applyAlignment="1" applyProtection="1">
      <alignment vertical="top"/>
    </xf>
    <xf numFmtId="49" fontId="3" fillId="2" borderId="0" xfId="0" applyNumberFormat="1" applyFont="1" applyFill="1" applyBorder="1" applyAlignment="1" applyProtection="1">
      <alignment vertical="top"/>
    </xf>
    <xf numFmtId="0" fontId="0" fillId="6" borderId="0" xfId="0" applyFont="1" applyFill="1" applyBorder="1" applyAlignment="1" applyProtection="1">
      <alignment vertical="top"/>
    </xf>
    <xf numFmtId="49" fontId="8" fillId="2" borderId="6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 vertical="top"/>
    </xf>
    <xf numFmtId="2" fontId="5" fillId="2" borderId="6" xfId="0" applyNumberFormat="1" applyFont="1" applyFill="1" applyBorder="1" applyAlignment="1" applyProtection="1">
      <alignment horizontal="right"/>
    </xf>
    <xf numFmtId="166" fontId="5" fillId="2" borderId="6" xfId="3" applyNumberFormat="1" applyFont="1" applyFill="1" applyBorder="1" applyAlignment="1" applyProtection="1">
      <alignment horizontal="right"/>
    </xf>
    <xf numFmtId="168" fontId="5" fillId="2" borderId="6" xfId="1" applyNumberFormat="1" applyFont="1" applyFill="1" applyBorder="1" applyAlignment="1" applyProtection="1">
      <alignment horizontal="right"/>
    </xf>
    <xf numFmtId="166" fontId="0" fillId="2" borderId="6" xfId="3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4" borderId="0" xfId="0" applyFont="1" applyFill="1"/>
    <xf numFmtId="0" fontId="2" fillId="2" borderId="0" xfId="0" applyFont="1" applyFill="1"/>
    <xf numFmtId="166" fontId="0" fillId="2" borderId="0" xfId="3" applyNumberFormat="1" applyFont="1" applyFill="1" applyProtection="1">
      <protection locked="0"/>
    </xf>
    <xf numFmtId="0" fontId="20" fillId="0" borderId="0" xfId="0" applyFont="1" applyAlignment="1">
      <alignment vertical="top"/>
    </xf>
    <xf numFmtId="166" fontId="3" fillId="2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right"/>
      <protection locked="0"/>
    </xf>
    <xf numFmtId="168" fontId="8" fillId="2" borderId="0" xfId="1" applyNumberFormat="1" applyFont="1" applyFill="1" applyBorder="1" applyAlignment="1" applyProtection="1">
      <alignment horizontal="right"/>
    </xf>
    <xf numFmtId="41" fontId="3" fillId="2" borderId="0" xfId="0" applyNumberFormat="1" applyFont="1" applyFill="1" applyBorder="1" applyProtection="1"/>
    <xf numFmtId="0" fontId="5" fillId="6" borderId="0" xfId="0" applyNumberFormat="1" applyFont="1" applyFill="1" applyBorder="1" applyProtection="1"/>
    <xf numFmtId="0" fontId="5" fillId="6" borderId="0" xfId="0" applyNumberFormat="1" applyFont="1" applyFill="1" applyBorder="1" applyAlignment="1" applyProtection="1">
      <alignment horizontal="right"/>
    </xf>
    <xf numFmtId="166" fontId="5" fillId="6" borderId="0" xfId="3" applyNumberFormat="1" applyFont="1" applyFill="1" applyBorder="1" applyAlignment="1" applyProtection="1">
      <alignment horizontal="right"/>
    </xf>
    <xf numFmtId="0" fontId="15" fillId="6" borderId="0" xfId="0" applyNumberFormat="1" applyFont="1" applyFill="1" applyBorder="1" applyAlignment="1" applyProtection="1">
      <alignment horizontal="right"/>
    </xf>
    <xf numFmtId="166" fontId="15" fillId="6" borderId="0" xfId="3" applyNumberFormat="1" applyFont="1" applyFill="1" applyBorder="1" applyAlignment="1" applyProtection="1">
      <alignment horizontal="right"/>
    </xf>
    <xf numFmtId="168" fontId="5" fillId="6" borderId="0" xfId="1" applyNumberFormat="1" applyFont="1" applyFill="1" applyBorder="1" applyAlignment="1" applyProtection="1">
      <alignment horizontal="right"/>
    </xf>
    <xf numFmtId="166" fontId="5" fillId="5" borderId="0" xfId="3" applyNumberFormat="1" applyFont="1" applyFill="1" applyBorder="1" applyAlignment="1" applyProtection="1">
      <alignment horizontal="right"/>
    </xf>
    <xf numFmtId="166" fontId="15" fillId="5" borderId="0" xfId="3" applyNumberFormat="1" applyFont="1" applyFill="1" applyBorder="1" applyAlignment="1" applyProtection="1">
      <alignment horizontal="right"/>
    </xf>
    <xf numFmtId="168" fontId="5" fillId="5" borderId="0" xfId="1" applyNumberFormat="1" applyFont="1" applyFill="1" applyBorder="1" applyAlignment="1" applyProtection="1">
      <alignment horizontal="right"/>
    </xf>
    <xf numFmtId="168" fontId="15" fillId="5" borderId="0" xfId="1" applyNumberFormat="1" applyFont="1" applyFill="1" applyBorder="1" applyAlignment="1" applyProtection="1">
      <alignment horizontal="right"/>
    </xf>
    <xf numFmtId="41" fontId="0" fillId="3" borderId="0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/>
    <xf numFmtId="168" fontId="3" fillId="5" borderId="0" xfId="1" applyNumberFormat="1" applyFont="1" applyFill="1" applyBorder="1" applyProtection="1"/>
    <xf numFmtId="170" fontId="0" fillId="2" borderId="0" xfId="0" applyNumberFormat="1" applyFill="1" applyBorder="1" applyProtection="1"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left" vertical="top"/>
      <protection locked="0"/>
    </xf>
    <xf numFmtId="165" fontId="5" fillId="2" borderId="0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10" fontId="8" fillId="2" borderId="0" xfId="3" applyNumberFormat="1" applyFont="1" applyFill="1" applyBorder="1" applyAlignment="1" applyProtection="1">
      <alignment horizontal="left" vertical="top"/>
      <protection locked="0"/>
    </xf>
    <xf numFmtId="41" fontId="5" fillId="2" borderId="0" xfId="0" applyNumberFormat="1" applyFont="1" applyFill="1" applyAlignment="1" applyProtection="1">
      <alignment horizontal="left" vertical="top"/>
      <protection locked="0"/>
    </xf>
    <xf numFmtId="10" fontId="5" fillId="2" borderId="0" xfId="0" applyNumberFormat="1" applyFont="1" applyFill="1" applyAlignment="1" applyProtection="1">
      <alignment horizontal="left" vertical="top"/>
      <protection locked="0"/>
    </xf>
    <xf numFmtId="43" fontId="5" fillId="2" borderId="0" xfId="1" applyFont="1" applyFill="1" applyAlignment="1" applyProtection="1">
      <alignment horizontal="left" vertical="top"/>
      <protection locked="0"/>
    </xf>
    <xf numFmtId="166" fontId="5" fillId="2" borderId="0" xfId="0" applyNumberFormat="1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/>
    </xf>
    <xf numFmtId="10" fontId="5" fillId="2" borderId="0" xfId="3" applyNumberFormat="1" applyFont="1" applyFill="1" applyBorder="1" applyAlignment="1" applyProtection="1">
      <alignment horizontal="left" vertical="top"/>
    </xf>
    <xf numFmtId="166" fontId="3" fillId="2" borderId="0" xfId="0" applyNumberFormat="1" applyFont="1" applyFill="1" applyBorder="1" applyProtection="1"/>
    <xf numFmtId="0" fontId="0" fillId="2" borderId="6" xfId="0" applyFill="1" applyBorder="1" applyProtection="1">
      <protection locked="0"/>
    </xf>
    <xf numFmtId="2" fontId="0" fillId="2" borderId="0" xfId="0" applyNumberFormat="1" applyFill="1" applyBorder="1" applyProtection="1"/>
    <xf numFmtId="0" fontId="0" fillId="2" borderId="0" xfId="0" applyFill="1" applyBorder="1" applyAlignment="1" applyProtection="1">
      <alignment vertical="top"/>
    </xf>
    <xf numFmtId="0" fontId="16" fillId="2" borderId="0" xfId="0" applyFont="1" applyFill="1" applyAlignment="1" applyProtection="1">
      <alignment horizontal="left" vertical="top"/>
    </xf>
    <xf numFmtId="168" fontId="15" fillId="6" borderId="0" xfId="1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  <protection locked="0"/>
    </xf>
    <xf numFmtId="166" fontId="0" fillId="5" borderId="0" xfId="3" applyNumberFormat="1" applyFont="1" applyFill="1" applyBorder="1" applyAlignment="1" applyProtection="1">
      <alignment horizontal="right"/>
    </xf>
    <xf numFmtId="166" fontId="0" fillId="2" borderId="0" xfId="3" applyNumberFormat="1" applyFont="1" applyFill="1" applyBorder="1" applyAlignment="1" applyProtection="1">
      <alignment horizontal="right"/>
    </xf>
    <xf numFmtId="41" fontId="0" fillId="2" borderId="0" xfId="0" applyNumberFormat="1" applyFill="1" applyBorder="1" applyAlignment="1" applyProtection="1">
      <alignment horizontal="right"/>
    </xf>
    <xf numFmtId="166" fontId="0" fillId="2" borderId="0" xfId="0" applyNumberFormat="1" applyFill="1" applyBorder="1" applyAlignment="1" applyProtection="1">
      <alignment horizontal="right"/>
    </xf>
    <xf numFmtId="2" fontId="0" fillId="3" borderId="0" xfId="0" applyNumberFormat="1" applyFill="1" applyBorder="1" applyAlignment="1" applyProtection="1">
      <alignment horizontal="right"/>
      <protection locked="0"/>
    </xf>
    <xf numFmtId="166" fontId="0" fillId="2" borderId="0" xfId="3" applyNumberFormat="1" applyFont="1" applyFill="1" applyAlignment="1" applyProtection="1">
      <alignment horizontal="right"/>
    </xf>
    <xf numFmtId="41" fontId="0" fillId="5" borderId="1" xfId="0" applyNumberFormat="1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 wrapText="1"/>
    </xf>
    <xf numFmtId="0" fontId="0" fillId="2" borderId="0" xfId="0" quotePrefix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4" xfId="4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B1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40</xdr:row>
      <xdr:rowOff>22860</xdr:rowOff>
    </xdr:from>
    <xdr:to>
      <xdr:col>4</xdr:col>
      <xdr:colOff>845820</xdr:colOff>
      <xdr:row>41</xdr:row>
      <xdr:rowOff>190500</xdr:rowOff>
    </xdr:to>
    <xdr:sp macro="" textlink="">
      <xdr:nvSpPr>
        <xdr:cNvPr id="11" name="TextBox 10"/>
        <xdr:cNvSpPr txBox="1"/>
      </xdr:nvSpPr>
      <xdr:spPr>
        <a:xfrm>
          <a:off x="4804411" y="7543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</a:p>
        <a:p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6</xdr:col>
      <xdr:colOff>180106</xdr:colOff>
      <xdr:row>57</xdr:row>
      <xdr:rowOff>13854</xdr:rowOff>
    </xdr:from>
    <xdr:to>
      <xdr:col>9</xdr:col>
      <xdr:colOff>554181</xdr:colOff>
      <xdr:row>57</xdr:row>
      <xdr:rowOff>187040</xdr:rowOff>
    </xdr:to>
    <xdr:sp macro="" textlink="">
      <xdr:nvSpPr>
        <xdr:cNvPr id="6" name="Right Bracket 5"/>
        <xdr:cNvSpPr/>
      </xdr:nvSpPr>
      <xdr:spPr>
        <a:xfrm rot="5400000">
          <a:off x="4970661" y="14517139"/>
          <a:ext cx="165566" cy="2248595"/>
        </a:xfrm>
        <a:prstGeom prst="rightBracket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2438400</xdr:colOff>
      <xdr:row>63</xdr:row>
      <xdr:rowOff>121919</xdr:rowOff>
    </xdr:from>
    <xdr:to>
      <xdr:col>8</xdr:col>
      <xdr:colOff>76200</xdr:colOff>
      <xdr:row>65</xdr:row>
      <xdr:rowOff>60960</xdr:rowOff>
    </xdr:to>
    <xdr:sp macro="" textlink="">
      <xdr:nvSpPr>
        <xdr:cNvPr id="7" name="Minus 6"/>
        <xdr:cNvSpPr/>
      </xdr:nvSpPr>
      <xdr:spPr>
        <a:xfrm>
          <a:off x="8244840" y="12412979"/>
          <a:ext cx="1821180" cy="335281"/>
        </a:xfrm>
        <a:prstGeom prst="mathMinus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571504</xdr:colOff>
      <xdr:row>58</xdr:row>
      <xdr:rowOff>358140</xdr:rowOff>
    </xdr:from>
    <xdr:to>
      <xdr:col>7</xdr:col>
      <xdr:colOff>746764</xdr:colOff>
      <xdr:row>64</xdr:row>
      <xdr:rowOff>83820</xdr:rowOff>
    </xdr:to>
    <xdr:sp macro="" textlink="">
      <xdr:nvSpPr>
        <xdr:cNvPr id="8" name="Right Arrow 7"/>
        <xdr:cNvSpPr/>
      </xdr:nvSpPr>
      <xdr:spPr>
        <a:xfrm rot="16200000">
          <a:off x="8416294" y="11746230"/>
          <a:ext cx="1097280" cy="175260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684531</xdr:colOff>
      <xdr:row>14</xdr:row>
      <xdr:rowOff>163831</xdr:rowOff>
    </xdr:from>
    <xdr:to>
      <xdr:col>3</xdr:col>
      <xdr:colOff>730250</xdr:colOff>
      <xdr:row>15</xdr:row>
      <xdr:rowOff>25400</xdr:rowOff>
    </xdr:to>
    <xdr:sp macro="" textlink="">
      <xdr:nvSpPr>
        <xdr:cNvPr id="9" name="TextBox 8"/>
        <xdr:cNvSpPr txBox="1"/>
      </xdr:nvSpPr>
      <xdr:spPr>
        <a:xfrm>
          <a:off x="6113781" y="34785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1765300</xdr:colOff>
      <xdr:row>8</xdr:row>
      <xdr:rowOff>19049</xdr:rowOff>
    </xdr:from>
    <xdr:to>
      <xdr:col>6</xdr:col>
      <xdr:colOff>57150</xdr:colOff>
      <xdr:row>9</xdr:row>
      <xdr:rowOff>28574</xdr:rowOff>
    </xdr:to>
    <xdr:sp macro="" textlink="">
      <xdr:nvSpPr>
        <xdr:cNvPr id="10" name="TextBox 9"/>
        <xdr:cNvSpPr txBox="1"/>
      </xdr:nvSpPr>
      <xdr:spPr>
        <a:xfrm>
          <a:off x="7413625" y="1543049"/>
          <a:ext cx="68262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5</xdr:col>
      <xdr:colOff>133350</xdr:colOff>
      <xdr:row>18</xdr:row>
      <xdr:rowOff>47625</xdr:rowOff>
    </xdr:from>
    <xdr:to>
      <xdr:col>5</xdr:col>
      <xdr:colOff>314325</xdr:colOff>
      <xdr:row>19</xdr:row>
      <xdr:rowOff>0</xdr:rowOff>
    </xdr:to>
    <xdr:sp macro="" textlink="">
      <xdr:nvSpPr>
        <xdr:cNvPr id="12" name="Bent Arrow 11"/>
        <xdr:cNvSpPr/>
      </xdr:nvSpPr>
      <xdr:spPr>
        <a:xfrm>
          <a:off x="4581525" y="3552825"/>
          <a:ext cx="180975" cy="13335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34292</xdr:colOff>
      <xdr:row>15</xdr:row>
      <xdr:rowOff>99063</xdr:rowOff>
    </xdr:from>
    <xdr:to>
      <xdr:col>5</xdr:col>
      <xdr:colOff>2047875</xdr:colOff>
      <xdr:row>24</xdr:row>
      <xdr:rowOff>95250</xdr:rowOff>
    </xdr:to>
    <xdr:cxnSp macro="">
      <xdr:nvCxnSpPr>
        <xdr:cNvPr id="21" name="Straight Arrow Connector 20"/>
        <xdr:cNvCxnSpPr/>
      </xdr:nvCxnSpPr>
      <xdr:spPr>
        <a:xfrm flipH="1" flipV="1">
          <a:off x="4653917" y="2689863"/>
          <a:ext cx="3042283" cy="1805937"/>
        </a:xfrm>
        <a:prstGeom prst="straightConnector1">
          <a:avLst/>
        </a:prstGeom>
        <a:ln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14</xdr:row>
      <xdr:rowOff>171450</xdr:rowOff>
    </xdr:from>
    <xdr:to>
      <xdr:col>2</xdr:col>
      <xdr:colOff>390525</xdr:colOff>
      <xdr:row>16</xdr:row>
      <xdr:rowOff>0</xdr:rowOff>
    </xdr:to>
    <xdr:cxnSp macro="">
      <xdr:nvCxnSpPr>
        <xdr:cNvPr id="24" name="Straight Connector 23"/>
        <xdr:cNvCxnSpPr/>
      </xdr:nvCxnSpPr>
      <xdr:spPr>
        <a:xfrm flipH="1">
          <a:off x="2809875" y="2276475"/>
          <a:ext cx="152400" cy="1905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15</xdr:row>
      <xdr:rowOff>49530</xdr:rowOff>
    </xdr:from>
    <xdr:to>
      <xdr:col>5</xdr:col>
      <xdr:colOff>339090</xdr:colOff>
      <xdr:row>16</xdr:row>
      <xdr:rowOff>1905</xdr:rowOff>
    </xdr:to>
    <xdr:sp macro="" textlink="">
      <xdr:nvSpPr>
        <xdr:cNvPr id="25" name="Bent Arrow 24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18</xdr:row>
      <xdr:rowOff>7620</xdr:rowOff>
    </xdr:from>
    <xdr:to>
      <xdr:col>2</xdr:col>
      <xdr:colOff>685800</xdr:colOff>
      <xdr:row>19</xdr:row>
      <xdr:rowOff>68580</xdr:rowOff>
    </xdr:to>
    <xdr:sp macro="" textlink="">
      <xdr:nvSpPr>
        <xdr:cNvPr id="36" name="Cross 35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1158240</xdr:colOff>
      <xdr:row>65</xdr:row>
      <xdr:rowOff>22860</xdr:rowOff>
    </xdr:from>
    <xdr:to>
      <xdr:col>2</xdr:col>
      <xdr:colOff>1310640</xdr:colOff>
      <xdr:row>65</xdr:row>
      <xdr:rowOff>175260</xdr:rowOff>
    </xdr:to>
    <xdr:sp macro="" textlink="">
      <xdr:nvSpPr>
        <xdr:cNvPr id="38" name="Plus 37"/>
        <xdr:cNvSpPr/>
      </xdr:nvSpPr>
      <xdr:spPr>
        <a:xfrm>
          <a:off x="3726180" y="1197102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15</xdr:row>
      <xdr:rowOff>45720</xdr:rowOff>
    </xdr:from>
    <xdr:to>
      <xdr:col>5</xdr:col>
      <xdr:colOff>15240</xdr:colOff>
      <xdr:row>15</xdr:row>
      <xdr:rowOff>45720</xdr:rowOff>
    </xdr:to>
    <xdr:cxnSp macro="">
      <xdr:nvCxnSpPr>
        <xdr:cNvPr id="50" name="Straight Connector 49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15</xdr:row>
      <xdr:rowOff>129540</xdr:rowOff>
    </xdr:from>
    <xdr:to>
      <xdr:col>5</xdr:col>
      <xdr:colOff>15240</xdr:colOff>
      <xdr:row>15</xdr:row>
      <xdr:rowOff>129540</xdr:rowOff>
    </xdr:to>
    <xdr:cxnSp macro="">
      <xdr:nvCxnSpPr>
        <xdr:cNvPr id="51" name="Straight Connector 50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18</xdr:row>
      <xdr:rowOff>76200</xdr:rowOff>
    </xdr:from>
    <xdr:to>
      <xdr:col>5</xdr:col>
      <xdr:colOff>45720</xdr:colOff>
      <xdr:row>18</xdr:row>
      <xdr:rowOff>76200</xdr:rowOff>
    </xdr:to>
    <xdr:cxnSp macro="">
      <xdr:nvCxnSpPr>
        <xdr:cNvPr id="52" name="Straight Connector 51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18</xdr:row>
      <xdr:rowOff>160020</xdr:rowOff>
    </xdr:from>
    <xdr:to>
      <xdr:col>5</xdr:col>
      <xdr:colOff>45720</xdr:colOff>
      <xdr:row>18</xdr:row>
      <xdr:rowOff>160020</xdr:rowOff>
    </xdr:to>
    <xdr:cxnSp macro="">
      <xdr:nvCxnSpPr>
        <xdr:cNvPr id="53" name="Straight Connector 52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487680</xdr:colOff>
      <xdr:row>62</xdr:row>
      <xdr:rowOff>121920</xdr:rowOff>
    </xdr:from>
    <xdr:to>
      <xdr:col>2</xdr:col>
      <xdr:colOff>845820</xdr:colOff>
      <xdr:row>63</xdr:row>
      <xdr:rowOff>45720</xdr:rowOff>
    </xdr:to>
    <xdr:sp macro="" textlink="">
      <xdr:nvSpPr>
        <xdr:cNvPr id="54" name="Division 53"/>
        <xdr:cNvSpPr/>
      </xdr:nvSpPr>
      <xdr:spPr>
        <a:xfrm>
          <a:off x="3055620" y="1124712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68580</xdr:colOff>
      <xdr:row>62</xdr:row>
      <xdr:rowOff>137160</xdr:rowOff>
    </xdr:from>
    <xdr:to>
      <xdr:col>5</xdr:col>
      <xdr:colOff>426720</xdr:colOff>
      <xdr:row>63</xdr:row>
      <xdr:rowOff>60960</xdr:rowOff>
    </xdr:to>
    <xdr:sp macro="" textlink="">
      <xdr:nvSpPr>
        <xdr:cNvPr id="56" name="Division 55"/>
        <xdr:cNvSpPr/>
      </xdr:nvSpPr>
      <xdr:spPr>
        <a:xfrm>
          <a:off x="5676900" y="1126236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5</xdr:col>
      <xdr:colOff>624840</xdr:colOff>
      <xdr:row>37</xdr:row>
      <xdr:rowOff>106680</xdr:rowOff>
    </xdr:from>
    <xdr:to>
      <xdr:col>5</xdr:col>
      <xdr:colOff>883920</xdr:colOff>
      <xdr:row>37</xdr:row>
      <xdr:rowOff>365760</xdr:rowOff>
    </xdr:to>
    <xdr:sp macro="" textlink="">
      <xdr:nvSpPr>
        <xdr:cNvPr id="4" name="Plus 3"/>
        <xdr:cNvSpPr/>
      </xdr:nvSpPr>
      <xdr:spPr>
        <a:xfrm>
          <a:off x="6233160" y="681990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53340</xdr:colOff>
      <xdr:row>7</xdr:row>
      <xdr:rowOff>162095</xdr:rowOff>
    </xdr:from>
    <xdr:ext cx="1470660" cy="315663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442255"/>
          <a:ext cx="1470660" cy="315663"/>
        </a:xfrm>
        <a:prstGeom prst="rect">
          <a:avLst/>
        </a:prstGeom>
      </xdr:spPr>
    </xdr:pic>
    <xdr:clientData/>
  </xdr:oneCellAnchor>
  <xdr:twoCellAnchor>
    <xdr:from>
      <xdr:col>5</xdr:col>
      <xdr:colOff>1638300</xdr:colOff>
      <xdr:row>58</xdr:row>
      <xdr:rowOff>106680</xdr:rowOff>
    </xdr:from>
    <xdr:to>
      <xdr:col>6</xdr:col>
      <xdr:colOff>60960</xdr:colOff>
      <xdr:row>58</xdr:row>
      <xdr:rowOff>365760</xdr:rowOff>
    </xdr:to>
    <xdr:sp macro="" textlink="">
      <xdr:nvSpPr>
        <xdr:cNvPr id="23" name="Plus 22"/>
        <xdr:cNvSpPr/>
      </xdr:nvSpPr>
      <xdr:spPr>
        <a:xfrm>
          <a:off x="7246620" y="1103376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264160</xdr:colOff>
      <xdr:row>3</xdr:row>
      <xdr:rowOff>53340</xdr:rowOff>
    </xdr:from>
    <xdr:to>
      <xdr:col>5</xdr:col>
      <xdr:colOff>962660</xdr:colOff>
      <xdr:row>3</xdr:row>
      <xdr:rowOff>220980</xdr:rowOff>
    </xdr:to>
    <xdr:sp macro="" textlink="">
      <xdr:nvSpPr>
        <xdr:cNvPr id="7" name="TextBox 6"/>
        <xdr:cNvSpPr txBox="1"/>
      </xdr:nvSpPr>
      <xdr:spPr>
        <a:xfrm>
          <a:off x="5994400" y="601980"/>
          <a:ext cx="698500" cy="167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3</xdr:col>
      <xdr:colOff>684531</xdr:colOff>
      <xdr:row>6</xdr:row>
      <xdr:rowOff>0</xdr:rowOff>
    </xdr:from>
    <xdr:to>
      <xdr:col>3</xdr:col>
      <xdr:colOff>730250</xdr:colOff>
      <xdr:row>6</xdr:row>
      <xdr:rowOff>25400</xdr:rowOff>
    </xdr:to>
    <xdr:sp macro="" textlink="">
      <xdr:nvSpPr>
        <xdr:cNvPr id="31" name="TextBox 30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133350</xdr:colOff>
      <xdr:row>9</xdr:row>
      <xdr:rowOff>47625</xdr:rowOff>
    </xdr:from>
    <xdr:to>
      <xdr:col>5</xdr:col>
      <xdr:colOff>314325</xdr:colOff>
      <xdr:row>10</xdr:row>
      <xdr:rowOff>0</xdr:rowOff>
    </xdr:to>
    <xdr:sp macro="" textlink="">
      <xdr:nvSpPr>
        <xdr:cNvPr id="32" name="Bent Arrow 31"/>
        <xdr:cNvSpPr/>
      </xdr:nvSpPr>
      <xdr:spPr>
        <a:xfrm>
          <a:off x="5741670" y="2981325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238125</xdr:colOff>
      <xdr:row>6</xdr:row>
      <xdr:rowOff>0</xdr:rowOff>
    </xdr:from>
    <xdr:to>
      <xdr:col>2</xdr:col>
      <xdr:colOff>390525</xdr:colOff>
      <xdr:row>7</xdr:row>
      <xdr:rowOff>0</xdr:rowOff>
    </xdr:to>
    <xdr:cxnSp macro="">
      <xdr:nvCxnSpPr>
        <xdr:cNvPr id="33" name="Straight Connector 32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6</xdr:row>
      <xdr:rowOff>49530</xdr:rowOff>
    </xdr:from>
    <xdr:to>
      <xdr:col>5</xdr:col>
      <xdr:colOff>339090</xdr:colOff>
      <xdr:row>7</xdr:row>
      <xdr:rowOff>1905</xdr:rowOff>
    </xdr:to>
    <xdr:sp macro="" textlink="">
      <xdr:nvSpPr>
        <xdr:cNvPr id="34" name="Bent Arrow 33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9</xdr:row>
      <xdr:rowOff>7620</xdr:rowOff>
    </xdr:from>
    <xdr:to>
      <xdr:col>2</xdr:col>
      <xdr:colOff>685800</xdr:colOff>
      <xdr:row>10</xdr:row>
      <xdr:rowOff>68580</xdr:rowOff>
    </xdr:to>
    <xdr:sp macro="" textlink="">
      <xdr:nvSpPr>
        <xdr:cNvPr id="35" name="Cross 34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6</xdr:row>
      <xdr:rowOff>45720</xdr:rowOff>
    </xdr:from>
    <xdr:to>
      <xdr:col>5</xdr:col>
      <xdr:colOff>15240</xdr:colOff>
      <xdr:row>6</xdr:row>
      <xdr:rowOff>45720</xdr:rowOff>
    </xdr:to>
    <xdr:cxnSp macro="">
      <xdr:nvCxnSpPr>
        <xdr:cNvPr id="36" name="Straight Connector 35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6</xdr:row>
      <xdr:rowOff>129540</xdr:rowOff>
    </xdr:from>
    <xdr:to>
      <xdr:col>5</xdr:col>
      <xdr:colOff>15240</xdr:colOff>
      <xdr:row>6</xdr:row>
      <xdr:rowOff>129540</xdr:rowOff>
    </xdr:to>
    <xdr:cxnSp macro="">
      <xdr:nvCxnSpPr>
        <xdr:cNvPr id="37" name="Straight Connector 36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9</xdr:row>
      <xdr:rowOff>76200</xdr:rowOff>
    </xdr:from>
    <xdr:to>
      <xdr:col>5</xdr:col>
      <xdr:colOff>45720</xdr:colOff>
      <xdr:row>9</xdr:row>
      <xdr:rowOff>76200</xdr:rowOff>
    </xdr:to>
    <xdr:cxnSp macro="">
      <xdr:nvCxnSpPr>
        <xdr:cNvPr id="38" name="Straight Connector 37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9</xdr:row>
      <xdr:rowOff>160020</xdr:rowOff>
    </xdr:from>
    <xdr:to>
      <xdr:col>5</xdr:col>
      <xdr:colOff>45720</xdr:colOff>
      <xdr:row>9</xdr:row>
      <xdr:rowOff>160020</xdr:rowOff>
    </xdr:to>
    <xdr:cxnSp macro="">
      <xdr:nvCxnSpPr>
        <xdr:cNvPr id="39" name="Straight Connector 38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39</xdr:row>
      <xdr:rowOff>175260</xdr:rowOff>
    </xdr:from>
    <xdr:to>
      <xdr:col>5</xdr:col>
      <xdr:colOff>906780</xdr:colOff>
      <xdr:row>40</xdr:row>
      <xdr:rowOff>53340</xdr:rowOff>
    </xdr:to>
    <xdr:sp macro="" textlink="">
      <xdr:nvSpPr>
        <xdr:cNvPr id="12" name="Plus 11"/>
        <xdr:cNvSpPr/>
      </xdr:nvSpPr>
      <xdr:spPr>
        <a:xfrm>
          <a:off x="6385560" y="805434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15</xdr:row>
      <xdr:rowOff>22860</xdr:rowOff>
    </xdr:from>
    <xdr:to>
      <xdr:col>4</xdr:col>
      <xdr:colOff>845820</xdr:colOff>
      <xdr:row>16</xdr:row>
      <xdr:rowOff>190500</xdr:rowOff>
    </xdr:to>
    <xdr:sp macro="" textlink="">
      <xdr:nvSpPr>
        <xdr:cNvPr id="2" name="TextBox 1"/>
        <xdr:cNvSpPr txBox="1"/>
      </xdr:nvSpPr>
      <xdr:spPr>
        <a:xfrm>
          <a:off x="4804411" y="7162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3</xdr:col>
      <xdr:colOff>684531</xdr:colOff>
      <xdr:row>8</xdr:row>
      <xdr:rowOff>163831</xdr:rowOff>
    </xdr:from>
    <xdr:to>
      <xdr:col>3</xdr:col>
      <xdr:colOff>730250</xdr:colOff>
      <xdr:row>9</xdr:row>
      <xdr:rowOff>25400</xdr:rowOff>
    </xdr:to>
    <xdr:sp macro="" textlink="">
      <xdr:nvSpPr>
        <xdr:cNvPr id="6" name="TextBox 5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233680</xdr:colOff>
      <xdr:row>3</xdr:row>
      <xdr:rowOff>0</xdr:rowOff>
    </xdr:from>
    <xdr:to>
      <xdr:col>5</xdr:col>
      <xdr:colOff>932180</xdr:colOff>
      <xdr:row>4</xdr:row>
      <xdr:rowOff>53340</xdr:rowOff>
    </xdr:to>
    <xdr:sp macro="" textlink="">
      <xdr:nvSpPr>
        <xdr:cNvPr id="7" name="TextBox 6"/>
        <xdr:cNvSpPr txBox="1"/>
      </xdr:nvSpPr>
      <xdr:spPr>
        <a:xfrm>
          <a:off x="5842000" y="548640"/>
          <a:ext cx="69850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5</xdr:col>
      <xdr:colOff>133350</xdr:colOff>
      <xdr:row>12</xdr:row>
      <xdr:rowOff>47625</xdr:rowOff>
    </xdr:from>
    <xdr:to>
      <xdr:col>5</xdr:col>
      <xdr:colOff>314325</xdr:colOff>
      <xdr:row>13</xdr:row>
      <xdr:rowOff>0</xdr:rowOff>
    </xdr:to>
    <xdr:sp macro="" textlink="">
      <xdr:nvSpPr>
        <xdr:cNvPr id="8" name="Bent Arrow 7"/>
        <xdr:cNvSpPr/>
      </xdr:nvSpPr>
      <xdr:spPr>
        <a:xfrm>
          <a:off x="5741670" y="2981325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238125</xdr:colOff>
      <xdr:row>8</xdr:row>
      <xdr:rowOff>171450</xdr:rowOff>
    </xdr:from>
    <xdr:to>
      <xdr:col>2</xdr:col>
      <xdr:colOff>390525</xdr:colOff>
      <xdr:row>10</xdr:row>
      <xdr:rowOff>0</xdr:rowOff>
    </xdr:to>
    <xdr:cxnSp macro="">
      <xdr:nvCxnSpPr>
        <xdr:cNvPr id="10" name="Straight Connector 9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9</xdr:row>
      <xdr:rowOff>49530</xdr:rowOff>
    </xdr:from>
    <xdr:to>
      <xdr:col>5</xdr:col>
      <xdr:colOff>339090</xdr:colOff>
      <xdr:row>10</xdr:row>
      <xdr:rowOff>1905</xdr:rowOff>
    </xdr:to>
    <xdr:sp macro="" textlink="">
      <xdr:nvSpPr>
        <xdr:cNvPr id="11" name="Bent Arrow 10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411480</xdr:colOff>
      <xdr:row>12</xdr:row>
      <xdr:rowOff>7620</xdr:rowOff>
    </xdr:from>
    <xdr:to>
      <xdr:col>2</xdr:col>
      <xdr:colOff>685800</xdr:colOff>
      <xdr:row>13</xdr:row>
      <xdr:rowOff>68580</xdr:rowOff>
    </xdr:to>
    <xdr:sp macro="" textlink="">
      <xdr:nvSpPr>
        <xdr:cNvPr id="12" name="Cross 11"/>
        <xdr:cNvSpPr/>
      </xdr:nvSpPr>
      <xdr:spPr>
        <a:xfrm rot="2700000">
          <a:off x="2994660" y="2926080"/>
          <a:ext cx="243840" cy="274320"/>
        </a:xfrm>
        <a:prstGeom prst="plus">
          <a:avLst>
            <a:gd name="adj" fmla="val 40625"/>
          </a:avLst>
        </a:prstGeom>
        <a:solidFill>
          <a:schemeClr val="dk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739140</xdr:colOff>
      <xdr:row>9</xdr:row>
      <xdr:rowOff>45720</xdr:rowOff>
    </xdr:from>
    <xdr:to>
      <xdr:col>5</xdr:col>
      <xdr:colOff>15240</xdr:colOff>
      <xdr:row>9</xdr:row>
      <xdr:rowOff>45720</xdr:rowOff>
    </xdr:to>
    <xdr:cxnSp macro="">
      <xdr:nvCxnSpPr>
        <xdr:cNvPr id="14" name="Straight Connector 13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9</xdr:row>
      <xdr:rowOff>129540</xdr:rowOff>
    </xdr:from>
    <xdr:to>
      <xdr:col>5</xdr:col>
      <xdr:colOff>15240</xdr:colOff>
      <xdr:row>9</xdr:row>
      <xdr:rowOff>129540</xdr:rowOff>
    </xdr:to>
    <xdr:cxnSp macro="">
      <xdr:nvCxnSpPr>
        <xdr:cNvPr id="15" name="Straight Connector 14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12</xdr:row>
      <xdr:rowOff>76200</xdr:rowOff>
    </xdr:from>
    <xdr:to>
      <xdr:col>5</xdr:col>
      <xdr:colOff>45720</xdr:colOff>
      <xdr:row>12</xdr:row>
      <xdr:rowOff>76200</xdr:rowOff>
    </xdr:to>
    <xdr:cxnSp macro="">
      <xdr:nvCxnSpPr>
        <xdr:cNvPr id="16" name="Straight Connector 15"/>
        <xdr:cNvCxnSpPr/>
      </xdr:nvCxnSpPr>
      <xdr:spPr>
        <a:xfrm>
          <a:off x="5440680" y="30099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769620</xdr:colOff>
      <xdr:row>12</xdr:row>
      <xdr:rowOff>160020</xdr:rowOff>
    </xdr:from>
    <xdr:to>
      <xdr:col>5</xdr:col>
      <xdr:colOff>45720</xdr:colOff>
      <xdr:row>12</xdr:row>
      <xdr:rowOff>160020</xdr:rowOff>
    </xdr:to>
    <xdr:cxnSp macro="">
      <xdr:nvCxnSpPr>
        <xdr:cNvPr id="17" name="Straight Connector 16"/>
        <xdr:cNvCxnSpPr/>
      </xdr:nvCxnSpPr>
      <xdr:spPr>
        <a:xfrm>
          <a:off x="5440680" y="30937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1158240</xdr:colOff>
      <xdr:row>55</xdr:row>
      <xdr:rowOff>22860</xdr:rowOff>
    </xdr:from>
    <xdr:to>
      <xdr:col>2</xdr:col>
      <xdr:colOff>1310640</xdr:colOff>
      <xdr:row>55</xdr:row>
      <xdr:rowOff>175260</xdr:rowOff>
    </xdr:to>
    <xdr:sp macro="" textlink="">
      <xdr:nvSpPr>
        <xdr:cNvPr id="21" name="Plus 20"/>
        <xdr:cNvSpPr/>
      </xdr:nvSpPr>
      <xdr:spPr>
        <a:xfrm>
          <a:off x="3726180" y="1157478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274320</xdr:colOff>
      <xdr:row>52</xdr:row>
      <xdr:rowOff>91440</xdr:rowOff>
    </xdr:from>
    <xdr:to>
      <xdr:col>2</xdr:col>
      <xdr:colOff>632460</xdr:colOff>
      <xdr:row>53</xdr:row>
      <xdr:rowOff>83820</xdr:rowOff>
    </xdr:to>
    <xdr:sp macro="" textlink="">
      <xdr:nvSpPr>
        <xdr:cNvPr id="22" name="Division 21"/>
        <xdr:cNvSpPr/>
      </xdr:nvSpPr>
      <xdr:spPr>
        <a:xfrm>
          <a:off x="2842260" y="1104900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</xdr:colOff>
      <xdr:row>52</xdr:row>
      <xdr:rowOff>99060</xdr:rowOff>
    </xdr:from>
    <xdr:to>
      <xdr:col>5</xdr:col>
      <xdr:colOff>388620</xdr:colOff>
      <xdr:row>53</xdr:row>
      <xdr:rowOff>91440</xdr:rowOff>
    </xdr:to>
    <xdr:sp macro="" textlink="">
      <xdr:nvSpPr>
        <xdr:cNvPr id="23" name="Division 22"/>
        <xdr:cNvSpPr/>
      </xdr:nvSpPr>
      <xdr:spPr>
        <a:xfrm>
          <a:off x="5638800" y="1105662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2</xdr:col>
      <xdr:colOff>1363980</xdr:colOff>
      <xdr:row>55</xdr:row>
      <xdr:rowOff>342900</xdr:rowOff>
    </xdr:from>
    <xdr:to>
      <xdr:col>5</xdr:col>
      <xdr:colOff>868680</xdr:colOff>
      <xdr:row>56</xdr:row>
      <xdr:rowOff>220980</xdr:rowOff>
    </xdr:to>
    <xdr:sp macro="" textlink="">
      <xdr:nvSpPr>
        <xdr:cNvPr id="24" name="TextBox 23"/>
        <xdr:cNvSpPr txBox="1"/>
      </xdr:nvSpPr>
      <xdr:spPr>
        <a:xfrm>
          <a:off x="3931920" y="11894820"/>
          <a:ext cx="254508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Total % Effort Allowed</a:t>
          </a:r>
          <a:r>
            <a:rPr lang="en-US" sz="1000" baseline="0"/>
            <a:t> on Sponsored Projects</a:t>
          </a:r>
          <a:endParaRPr lang="en-US" sz="1000"/>
        </a:p>
      </xdr:txBody>
    </xdr:sp>
    <xdr:clientData/>
  </xdr:twoCellAnchor>
  <xdr:twoCellAnchor>
    <xdr:from>
      <xdr:col>5</xdr:col>
      <xdr:colOff>678180</xdr:colOff>
      <xdr:row>46</xdr:row>
      <xdr:rowOff>114300</xdr:rowOff>
    </xdr:from>
    <xdr:to>
      <xdr:col>5</xdr:col>
      <xdr:colOff>937260</xdr:colOff>
      <xdr:row>46</xdr:row>
      <xdr:rowOff>373380</xdr:rowOff>
    </xdr:to>
    <xdr:sp macro="" textlink="">
      <xdr:nvSpPr>
        <xdr:cNvPr id="20" name="Plus 19"/>
        <xdr:cNvSpPr/>
      </xdr:nvSpPr>
      <xdr:spPr>
        <a:xfrm>
          <a:off x="6286500" y="951738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"/>
  <sheetViews>
    <sheetView tabSelected="1" zoomScaleNormal="100" workbookViewId="0">
      <selection activeCell="E27" sqref="E27"/>
    </sheetView>
  </sheetViews>
  <sheetFormatPr defaultColWidth="9.109375" defaultRowHeight="14.4"/>
  <cols>
    <col min="1" max="1" width="27.88671875" style="1" customWidth="1"/>
    <col min="2" max="2" width="10.6640625" style="1" customWidth="1"/>
    <col min="3" max="3" width="20" style="1" customWidth="1"/>
    <col min="4" max="4" width="10.6640625" style="1" customWidth="1"/>
    <col min="5" max="5" width="15.44140625" style="1" customWidth="1"/>
    <col min="6" max="6" width="35.88671875" style="2" customWidth="1"/>
    <col min="7" max="7" width="12.5546875" style="255" customWidth="1"/>
    <col min="8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53" t="s">
        <v>34</v>
      </c>
      <c r="B1" s="52"/>
      <c r="C1" s="52"/>
      <c r="D1" s="52"/>
      <c r="E1" s="52"/>
      <c r="F1" s="55"/>
      <c r="G1" s="251"/>
      <c r="H1" s="14"/>
      <c r="I1" s="51"/>
      <c r="J1" s="51"/>
      <c r="K1" s="51"/>
      <c r="L1" s="51"/>
    </row>
    <row r="2" spans="1:31" customFormat="1">
      <c r="A2" s="228" t="s">
        <v>95</v>
      </c>
      <c r="B2" s="52"/>
      <c r="C2" s="52"/>
      <c r="D2" s="52"/>
      <c r="E2" s="52"/>
      <c r="F2" s="55"/>
      <c r="G2" s="251"/>
      <c r="H2" s="14"/>
      <c r="I2" s="51"/>
      <c r="J2" s="51"/>
      <c r="K2" s="51"/>
      <c r="L2" s="51"/>
    </row>
    <row r="3" spans="1:31" customFormat="1">
      <c r="A3" s="228" t="s">
        <v>91</v>
      </c>
      <c r="B3" s="52"/>
      <c r="C3" s="52"/>
      <c r="D3" s="52"/>
      <c r="E3" s="52"/>
      <c r="F3" s="55"/>
      <c r="G3" s="252"/>
      <c r="H3" s="14"/>
      <c r="I3" s="51"/>
      <c r="J3" s="51"/>
      <c r="K3" s="51"/>
      <c r="L3" s="51"/>
    </row>
    <row r="4" spans="1:31" customFormat="1">
      <c r="A4" s="55" t="s">
        <v>92</v>
      </c>
      <c r="B4" s="52"/>
      <c r="C4" s="52"/>
      <c r="D4" s="52"/>
      <c r="E4" s="52"/>
      <c r="F4" s="55"/>
      <c r="G4" s="252"/>
      <c r="H4" s="51"/>
      <c r="I4" s="51"/>
      <c r="J4" s="51"/>
      <c r="K4" s="51"/>
      <c r="L4" s="51"/>
    </row>
    <row r="5" spans="1:31" customFormat="1">
      <c r="A5" s="55"/>
      <c r="B5" s="52"/>
      <c r="C5" s="52"/>
      <c r="D5" s="52"/>
      <c r="E5" s="52"/>
      <c r="F5" s="55"/>
      <c r="G5" s="252"/>
      <c r="H5" s="51"/>
      <c r="I5" s="51"/>
      <c r="J5" s="51"/>
      <c r="K5" s="51"/>
      <c r="L5" s="51"/>
    </row>
    <row r="6" spans="1:31" customFormat="1">
      <c r="A6" s="55" t="s">
        <v>93</v>
      </c>
      <c r="B6" s="55"/>
      <c r="C6" s="55"/>
      <c r="D6" s="55"/>
      <c r="E6" s="55"/>
      <c r="F6" s="55"/>
      <c r="G6" s="253" t="s">
        <v>78</v>
      </c>
      <c r="H6" s="51"/>
      <c r="I6" s="51"/>
      <c r="J6" s="51"/>
      <c r="K6" s="51"/>
      <c r="L6" s="51"/>
    </row>
    <row r="7" spans="1:31" customFormat="1">
      <c r="A7" s="55" t="s">
        <v>94</v>
      </c>
      <c r="B7" s="55"/>
      <c r="C7" s="55"/>
      <c r="D7" s="55"/>
      <c r="E7" s="55"/>
      <c r="F7" s="55"/>
      <c r="G7" s="254"/>
      <c r="H7" s="51"/>
      <c r="I7" s="51"/>
      <c r="J7" s="51"/>
      <c r="K7" s="51"/>
      <c r="L7" s="51"/>
    </row>
    <row r="8" spans="1:31" customFormat="1">
      <c r="A8" s="55"/>
      <c r="B8" s="55"/>
      <c r="C8" s="55"/>
      <c r="D8" s="55"/>
      <c r="E8" s="55"/>
      <c r="F8" s="55"/>
      <c r="G8" s="252"/>
      <c r="H8" s="229"/>
      <c r="I8" s="229"/>
      <c r="J8" s="229"/>
      <c r="K8" s="51"/>
      <c r="L8" s="51"/>
    </row>
    <row r="9" spans="1:31">
      <c r="A9" s="283" t="s">
        <v>69</v>
      </c>
      <c r="B9" s="283"/>
      <c r="C9" s="283"/>
      <c r="D9" s="283"/>
      <c r="E9" s="283"/>
      <c r="F9" s="283"/>
      <c r="G9" s="252"/>
      <c r="H9" s="229"/>
      <c r="I9" s="229"/>
      <c r="J9" s="229"/>
      <c r="V9" s="2"/>
      <c r="W9" s="2"/>
      <c r="X9" s="2"/>
      <c r="Y9" s="2"/>
      <c r="Z9" s="2"/>
      <c r="AA9" s="2"/>
      <c r="AB9" s="20"/>
      <c r="AC9" s="2"/>
      <c r="AD9" s="2"/>
      <c r="AE9" s="2"/>
    </row>
    <row r="10" spans="1:31">
      <c r="A10" s="284" t="s">
        <v>70</v>
      </c>
      <c r="B10" s="284"/>
      <c r="C10" s="284"/>
      <c r="D10" s="284"/>
      <c r="E10" s="284"/>
      <c r="F10" s="284"/>
      <c r="G10" s="252"/>
      <c r="H10" s="229"/>
      <c r="I10" s="229"/>
      <c r="J10" s="229"/>
      <c r="K10" s="227"/>
      <c r="L10" s="227"/>
      <c r="V10" s="2"/>
      <c r="W10" s="2"/>
      <c r="X10" s="2"/>
      <c r="Y10" s="2"/>
      <c r="Z10" s="2"/>
      <c r="AA10" s="2"/>
      <c r="AB10" s="9"/>
      <c r="AC10" s="2"/>
      <c r="AD10" s="7"/>
      <c r="AE10" s="2"/>
    </row>
    <row r="11" spans="1:31" ht="4.95" customHeight="1">
      <c r="A11" s="46"/>
      <c r="B11" s="46"/>
      <c r="C11" s="46"/>
      <c r="D11" s="46"/>
      <c r="E11" s="46"/>
      <c r="F11" s="80"/>
      <c r="G11" s="252"/>
      <c r="H11" s="229"/>
      <c r="I11" s="229"/>
      <c r="J11" s="229"/>
      <c r="V11" s="2"/>
      <c r="W11" s="2"/>
      <c r="X11" s="2"/>
      <c r="Y11" s="2"/>
      <c r="Z11" s="2"/>
      <c r="AA11" s="2"/>
      <c r="AB11" s="9"/>
      <c r="AC11" s="2"/>
      <c r="AD11" s="7"/>
      <c r="AE11" s="2"/>
    </row>
    <row r="12" spans="1:31">
      <c r="A12" s="175" t="s">
        <v>35</v>
      </c>
      <c r="B12" s="285"/>
      <c r="C12" s="285"/>
      <c r="D12" s="285"/>
      <c r="G12" s="252"/>
      <c r="H12" s="229"/>
      <c r="I12" s="229"/>
      <c r="J12" s="229"/>
      <c r="V12" s="2"/>
      <c r="W12" s="2"/>
      <c r="X12" s="2"/>
      <c r="Y12" s="2"/>
      <c r="Z12" s="2"/>
      <c r="AA12" s="15"/>
      <c r="AB12" s="15"/>
      <c r="AC12" s="32"/>
      <c r="AD12" s="18"/>
      <c r="AE12" s="2"/>
    </row>
    <row r="13" spans="1:31">
      <c r="A13" s="233" t="s">
        <v>33</v>
      </c>
      <c r="B13" s="56"/>
      <c r="D13" s="234" t="s">
        <v>87</v>
      </c>
      <c r="E13" s="56"/>
      <c r="F13" s="56"/>
      <c r="G13" s="252"/>
      <c r="H13" s="229"/>
      <c r="I13" s="229"/>
      <c r="J13" s="229"/>
      <c r="V13" s="2"/>
      <c r="W13" s="2"/>
      <c r="X13" s="2"/>
      <c r="Y13" s="2"/>
      <c r="Z13" s="2"/>
      <c r="AA13" s="13"/>
      <c r="AB13" s="15"/>
      <c r="AC13" s="32"/>
      <c r="AD13" s="18"/>
      <c r="AE13" s="2"/>
    </row>
    <row r="14" spans="1:31" ht="4.95" customHeight="1">
      <c r="A14" s="57"/>
      <c r="B14" s="20"/>
      <c r="C14" s="2"/>
      <c r="D14" s="2"/>
      <c r="E14" s="2"/>
      <c r="G14" s="252"/>
      <c r="H14" s="229"/>
      <c r="I14" s="229"/>
      <c r="J14" s="229"/>
      <c r="V14" s="2"/>
      <c r="W14" s="2"/>
      <c r="X14" s="2"/>
      <c r="Y14" s="2"/>
      <c r="Z14" s="2"/>
      <c r="AA14" s="13"/>
      <c r="AB14" s="15"/>
      <c r="AC14" s="32"/>
      <c r="AD14" s="18"/>
      <c r="AE14" s="2"/>
    </row>
    <row r="15" spans="1:31">
      <c r="A15" s="128" t="s">
        <v>31</v>
      </c>
      <c r="B15" s="20"/>
      <c r="D15" s="2"/>
      <c r="E15" s="2"/>
      <c r="V15" s="2"/>
      <c r="W15" s="2"/>
      <c r="X15" s="2"/>
      <c r="Y15" s="2"/>
      <c r="Z15" s="2"/>
      <c r="AA15" s="13"/>
      <c r="AB15" s="15"/>
      <c r="AC15" s="32"/>
      <c r="AD15" s="18"/>
      <c r="AE15" s="2"/>
    </row>
    <row r="16" spans="1:31">
      <c r="A16" s="158" t="s">
        <v>52</v>
      </c>
      <c r="B16" s="63">
        <v>106500</v>
      </c>
      <c r="C16" s="61" t="s">
        <v>36</v>
      </c>
      <c r="D16" s="64">
        <v>0.4</v>
      </c>
      <c r="E16" s="66"/>
      <c r="F16" s="65">
        <f>B16/D16</f>
        <v>266250</v>
      </c>
      <c r="G16" s="272" t="str">
        <f>IF(D16=0, "Error Alert: Do not set cells in yellow in this row at ''0'' This will cause errors in the form.", "")</f>
        <v/>
      </c>
      <c r="V16" s="2"/>
      <c r="W16" s="2"/>
      <c r="X16" s="2"/>
      <c r="Y16" s="2"/>
      <c r="Z16" s="2"/>
      <c r="AA16" s="13"/>
      <c r="AB16" s="15"/>
      <c r="AC16" s="32"/>
      <c r="AD16" s="18"/>
      <c r="AE16" s="2"/>
    </row>
    <row r="17" spans="1:31">
      <c r="A17" s="50" t="str">
        <f>IF($F$16&gt;212100, "Do not use amt in Cell B16  ''P/T Institutional Base Salary'' on DHHS sponsored project budgets.", " Do not use this workbook.  Use the P/T Below NIH Cap workbook instead. ")</f>
        <v>Do not use amt in Cell B16  ''P/T Institutional Base Salary'' on DHHS sponsored project budgets.</v>
      </c>
      <c r="B17" s="49"/>
      <c r="C17" s="2"/>
      <c r="D17" s="21"/>
      <c r="E17" s="9"/>
      <c r="F17" s="21" t="s">
        <v>40</v>
      </c>
      <c r="G17" s="256"/>
      <c r="V17" s="2"/>
      <c r="W17" s="2"/>
      <c r="X17" s="2"/>
      <c r="Y17" s="2"/>
      <c r="Z17" s="2"/>
      <c r="AA17" s="13"/>
      <c r="AB17" s="15"/>
      <c r="AC17" s="32"/>
      <c r="AD17" s="18"/>
      <c r="AE17" s="2"/>
    </row>
    <row r="18" spans="1:31" ht="19.95" customHeight="1">
      <c r="A18" s="128" t="s">
        <v>30</v>
      </c>
      <c r="B18" s="20"/>
      <c r="C18" s="2"/>
      <c r="D18" s="2"/>
      <c r="E18" s="9"/>
      <c r="G18" s="256"/>
      <c r="V18" s="2"/>
      <c r="W18" s="2"/>
      <c r="X18" s="2"/>
      <c r="Y18" s="2"/>
      <c r="Z18" s="2"/>
      <c r="AA18" s="13"/>
      <c r="AB18" s="15"/>
      <c r="AC18" s="32"/>
      <c r="AD18" s="18"/>
      <c r="AE18" s="2"/>
    </row>
    <row r="19" spans="1:31">
      <c r="A19" s="166" t="s">
        <v>29</v>
      </c>
      <c r="B19" s="167">
        <v>212100</v>
      </c>
      <c r="C19" s="67"/>
      <c r="D19" s="169">
        <f>D16</f>
        <v>0.4</v>
      </c>
      <c r="E19" s="66"/>
      <c r="F19" s="62">
        <f>B19*D19</f>
        <v>84840</v>
      </c>
      <c r="G19" s="256"/>
      <c r="V19" s="2"/>
      <c r="W19" s="2"/>
      <c r="X19" s="2"/>
      <c r="Y19" s="2"/>
      <c r="Z19" s="2"/>
      <c r="AA19" s="13"/>
      <c r="AB19" s="15"/>
      <c r="AC19" s="32"/>
      <c r="AD19" s="18"/>
      <c r="AE19" s="2"/>
    </row>
    <row r="20" spans="1:31">
      <c r="A20" s="3"/>
      <c r="B20" s="48"/>
      <c r="C20" s="2"/>
      <c r="D20" s="2"/>
      <c r="E20" s="2"/>
      <c r="F20" s="61" t="s">
        <v>53</v>
      </c>
      <c r="G20" s="256"/>
      <c r="V20" s="2"/>
      <c r="W20" s="2"/>
      <c r="X20" s="2"/>
      <c r="Y20" s="2"/>
      <c r="Z20" s="2"/>
      <c r="AA20" s="13"/>
      <c r="AB20" s="15"/>
      <c r="AC20" s="32"/>
      <c r="AD20" s="18"/>
      <c r="AE20" s="2"/>
    </row>
    <row r="21" spans="1:31" ht="1.8" customHeight="1">
      <c r="A21" s="50"/>
      <c r="B21" s="49"/>
      <c r="C21" s="2"/>
      <c r="D21" s="68"/>
      <c r="E21" s="68"/>
      <c r="F21" s="68"/>
      <c r="G21" s="257"/>
      <c r="H21" s="47"/>
      <c r="I21" s="47"/>
      <c r="V21" s="2"/>
      <c r="W21" s="2"/>
      <c r="X21" s="2"/>
      <c r="Y21" s="2"/>
      <c r="Z21" s="2"/>
      <c r="AA21" s="13"/>
      <c r="AB21" s="15"/>
      <c r="AC21" s="32"/>
      <c r="AD21" s="18"/>
      <c r="AE21" s="2"/>
    </row>
    <row r="22" spans="1:31" ht="18" customHeight="1">
      <c r="A22" s="128" t="s">
        <v>28</v>
      </c>
      <c r="B22" s="128"/>
      <c r="C22" s="57"/>
      <c r="D22" s="57"/>
      <c r="E22" s="197"/>
      <c r="F22" s="198"/>
      <c r="G22" s="25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"/>
      <c r="V22" s="2"/>
      <c r="W22" s="44"/>
      <c r="X22" s="44"/>
      <c r="Y22" s="44"/>
      <c r="Z22" s="2"/>
      <c r="AA22" s="9"/>
      <c r="AB22" s="10"/>
      <c r="AC22" s="9"/>
      <c r="AD22" s="2"/>
      <c r="AE22" s="2"/>
    </row>
    <row r="23" spans="1:31">
      <c r="A23" s="196" t="s">
        <v>84</v>
      </c>
      <c r="B23" s="150"/>
      <c r="C23" s="57"/>
      <c r="D23" s="57"/>
      <c r="E23" s="197"/>
      <c r="F23" s="198"/>
      <c r="G23" s="25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"/>
      <c r="V23" s="2"/>
      <c r="W23" s="44"/>
      <c r="X23" s="44"/>
      <c r="Y23" s="44"/>
      <c r="Z23" s="2"/>
      <c r="AA23" s="9"/>
      <c r="AB23" s="10"/>
      <c r="AC23" s="9"/>
      <c r="AD23" s="2"/>
      <c r="AE23" s="2"/>
    </row>
    <row r="24" spans="1:31">
      <c r="A24" s="196" t="s">
        <v>97</v>
      </c>
      <c r="B24" s="150"/>
      <c r="C24" s="57"/>
      <c r="D24" s="57"/>
      <c r="E24" s="197"/>
      <c r="F24" s="198"/>
      <c r="G24" s="25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"/>
      <c r="V24" s="2"/>
      <c r="W24" s="44"/>
      <c r="X24" s="44"/>
      <c r="Y24" s="44"/>
      <c r="Z24" s="2"/>
      <c r="AA24" s="9"/>
      <c r="AB24" s="10"/>
      <c r="AC24" s="9"/>
      <c r="AD24" s="2"/>
      <c r="AE24" s="2"/>
    </row>
    <row r="25" spans="1:31" ht="22.95" customHeight="1">
      <c r="A25" s="57"/>
      <c r="B25" s="128"/>
      <c r="C25" s="57"/>
      <c r="D25" s="57"/>
      <c r="E25" s="199" t="s">
        <v>27</v>
      </c>
      <c r="F25" s="270">
        <f>D16*12</f>
        <v>4.8000000000000007</v>
      </c>
      <c r="G25" s="259"/>
      <c r="H25" s="2"/>
      <c r="I25" s="7"/>
      <c r="J25" s="7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"/>
      <c r="V25" s="2"/>
      <c r="W25" s="44"/>
      <c r="X25" s="44"/>
      <c r="Y25" s="44"/>
      <c r="Z25" s="2"/>
      <c r="AA25" s="9"/>
      <c r="AB25" s="10"/>
      <c r="AC25" s="9"/>
      <c r="AD25" s="2"/>
      <c r="AE25" s="2"/>
    </row>
    <row r="26" spans="1:31">
      <c r="A26" s="128" t="s">
        <v>11</v>
      </c>
      <c r="B26" s="128" t="s">
        <v>46</v>
      </c>
      <c r="C26" s="129" t="s">
        <v>47</v>
      </c>
      <c r="D26" s="130" t="s">
        <v>10</v>
      </c>
      <c r="E26" s="131" t="str">
        <f>IF($F$42="Yes", "Sal Req/Charged", "Sal Req")</f>
        <v>Sal Req/Charged</v>
      </c>
      <c r="F26" s="132" t="str">
        <f>IF($F$42="Yes", "% Effort for PaaS", " ")</f>
        <v>% Effort for PaaS</v>
      </c>
      <c r="G26" s="25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V26" s="44"/>
      <c r="W26" s="45"/>
      <c r="X26" s="2"/>
      <c r="Y26" s="43"/>
      <c r="Z26" s="2"/>
      <c r="AA26" s="9"/>
      <c r="AB26" s="10"/>
      <c r="AC26" s="9"/>
      <c r="AD26" s="2"/>
      <c r="AE26" s="2"/>
    </row>
    <row r="27" spans="1:31" ht="15.9" customHeight="1">
      <c r="A27" s="37" t="s">
        <v>26</v>
      </c>
      <c r="B27" s="54" t="s">
        <v>0</v>
      </c>
      <c r="C27" s="40">
        <v>0.44</v>
      </c>
      <c r="D27" s="39">
        <f t="shared" ref="D27:D35" si="0">+C27/$F$25</f>
        <v>9.166666666666666E-2</v>
      </c>
      <c r="E27" s="24">
        <f t="shared" ref="E27:E35" si="1">IF(B27="Yes", $F$19*D27,  $B$16*D27)</f>
        <v>9762.5</v>
      </c>
      <c r="F27" s="81">
        <f>IF($F$42="Yes", E27/$B$16, 0)</f>
        <v>9.166666666666666E-2</v>
      </c>
      <c r="G27" s="259"/>
      <c r="H27" s="9"/>
      <c r="I27" s="9"/>
      <c r="J27" s="9"/>
      <c r="K27" s="9"/>
      <c r="L27" s="9"/>
      <c r="M27" s="32"/>
      <c r="N27" s="32"/>
      <c r="O27" s="32"/>
      <c r="P27" s="32"/>
      <c r="Q27" s="32"/>
      <c r="R27" s="32"/>
      <c r="S27" s="32"/>
      <c r="T27" s="32"/>
      <c r="V27" s="35"/>
      <c r="W27" s="32"/>
      <c r="X27" s="15"/>
      <c r="Y27" s="35"/>
      <c r="Z27" s="2"/>
      <c r="AA27" s="9"/>
      <c r="AB27" s="10"/>
      <c r="AC27" s="32"/>
      <c r="AD27" s="2"/>
      <c r="AE27" s="2"/>
    </row>
    <row r="28" spans="1:31" ht="15.9" customHeight="1">
      <c r="A28" s="37" t="s">
        <v>25</v>
      </c>
      <c r="B28" s="54" t="s">
        <v>0</v>
      </c>
      <c r="C28" s="40">
        <v>0.12</v>
      </c>
      <c r="D28" s="39">
        <f t="shared" si="0"/>
        <v>2.4999999999999994E-2</v>
      </c>
      <c r="E28" s="24">
        <f t="shared" si="1"/>
        <v>2662.4999999999995</v>
      </c>
      <c r="F28" s="81">
        <f t="shared" ref="F28:F35" si="2">IF($F$42="Yes", E28/$B$16, 0)</f>
        <v>2.4999999999999994E-2</v>
      </c>
      <c r="G28" s="260"/>
      <c r="I28" s="36"/>
      <c r="J28" s="13"/>
      <c r="L28" s="11"/>
      <c r="M28" s="11"/>
      <c r="N28" s="13"/>
      <c r="O28" s="32"/>
      <c r="P28" s="32"/>
      <c r="Q28" s="32"/>
      <c r="R28" s="32"/>
      <c r="S28" s="32"/>
      <c r="T28" s="32"/>
      <c r="V28" s="35"/>
      <c r="W28" s="32"/>
      <c r="X28" s="15"/>
      <c r="Y28" s="35"/>
      <c r="Z28" s="2"/>
      <c r="AA28" s="9"/>
      <c r="AB28" s="10"/>
      <c r="AC28" s="32"/>
      <c r="AD28" s="2"/>
      <c r="AE28" s="2"/>
    </row>
    <row r="29" spans="1:31" ht="15.9" customHeight="1">
      <c r="A29" s="37" t="s">
        <v>24</v>
      </c>
      <c r="B29" s="54" t="s">
        <v>0</v>
      </c>
      <c r="C29" s="40">
        <v>0.91</v>
      </c>
      <c r="D29" s="39">
        <f t="shared" si="0"/>
        <v>0.1895833333333333</v>
      </c>
      <c r="E29" s="24">
        <f t="shared" si="1"/>
        <v>20190.624999999996</v>
      </c>
      <c r="F29" s="81">
        <f t="shared" si="2"/>
        <v>0.1895833333333333</v>
      </c>
      <c r="G29" s="265" t="s">
        <v>23</v>
      </c>
      <c r="H29" s="19"/>
      <c r="I29" s="36"/>
      <c r="J29" s="13"/>
      <c r="K29" s="1" t="s">
        <v>81</v>
      </c>
      <c r="L29" s="16"/>
      <c r="M29" s="11"/>
      <c r="N29" s="13"/>
      <c r="O29" s="32"/>
      <c r="P29" s="32"/>
      <c r="Q29" s="32"/>
      <c r="R29" s="32"/>
      <c r="S29" s="32"/>
      <c r="T29" s="32"/>
      <c r="V29" s="35"/>
      <c r="W29" s="32"/>
      <c r="X29" s="15"/>
      <c r="Y29" s="35"/>
      <c r="Z29" s="2"/>
      <c r="AA29" s="9"/>
      <c r="AB29" s="2"/>
      <c r="AC29" s="32"/>
      <c r="AD29" s="2"/>
      <c r="AE29" s="2"/>
    </row>
    <row r="30" spans="1:31" ht="15.9" customHeight="1">
      <c r="A30" s="37" t="s">
        <v>22</v>
      </c>
      <c r="B30" s="54" t="s">
        <v>1</v>
      </c>
      <c r="C30" s="40">
        <v>0.14000000000000001</v>
      </c>
      <c r="D30" s="39">
        <f t="shared" si="0"/>
        <v>2.9166666666666664E-2</v>
      </c>
      <c r="E30" s="24">
        <f t="shared" si="1"/>
        <v>2474.4999999999995</v>
      </c>
      <c r="F30" s="81">
        <f t="shared" si="2"/>
        <v>2.3234741784037553E-2</v>
      </c>
      <c r="G30" s="265" t="s">
        <v>21</v>
      </c>
      <c r="H30" s="19"/>
      <c r="I30" s="36"/>
      <c r="J30" s="13"/>
      <c r="K30" s="16" t="s">
        <v>80</v>
      </c>
      <c r="L30" s="16"/>
      <c r="M30" s="11"/>
      <c r="N30" s="13"/>
      <c r="O30" s="32"/>
      <c r="P30" s="32"/>
      <c r="Q30" s="32"/>
      <c r="R30" s="32"/>
      <c r="S30" s="32"/>
      <c r="T30" s="32"/>
      <c r="V30" s="42"/>
      <c r="W30" s="32"/>
      <c r="X30" s="15"/>
      <c r="Y30" s="35"/>
      <c r="Z30" s="2"/>
      <c r="AA30" s="9"/>
      <c r="AB30" s="2"/>
      <c r="AC30" s="41"/>
      <c r="AD30" s="2"/>
      <c r="AE30" s="2"/>
    </row>
    <row r="31" spans="1:31" ht="15.9" customHeight="1">
      <c r="A31" s="37" t="s">
        <v>20</v>
      </c>
      <c r="B31" s="54" t="s">
        <v>1</v>
      </c>
      <c r="C31" s="40">
        <v>0.6</v>
      </c>
      <c r="D31" s="39">
        <f t="shared" si="0"/>
        <v>0.12499999999999997</v>
      </c>
      <c r="E31" s="24">
        <f t="shared" si="1"/>
        <v>10604.999999999998</v>
      </c>
      <c r="F31" s="81">
        <f t="shared" si="2"/>
        <v>9.9577464788732376E-2</v>
      </c>
      <c r="G31" s="266"/>
      <c r="H31" s="19"/>
      <c r="I31" s="36"/>
      <c r="J31" s="13"/>
      <c r="K31" s="16" t="s">
        <v>79</v>
      </c>
      <c r="M31" s="11"/>
      <c r="N31" s="13"/>
      <c r="O31" s="32"/>
      <c r="P31" s="32"/>
      <c r="Q31" s="32"/>
      <c r="R31" s="32"/>
      <c r="S31" s="32"/>
      <c r="T31" s="32"/>
      <c r="V31" s="35"/>
      <c r="W31" s="32"/>
      <c r="X31" s="15"/>
      <c r="Y31" s="35"/>
      <c r="Z31" s="2"/>
      <c r="AA31" s="9"/>
      <c r="AB31" s="2"/>
      <c r="AC31" s="2"/>
      <c r="AD31" s="2"/>
      <c r="AE31" s="2"/>
    </row>
    <row r="32" spans="1:31" ht="15.9" customHeight="1">
      <c r="A32" s="37" t="s">
        <v>19</v>
      </c>
      <c r="B32" s="54" t="s">
        <v>1</v>
      </c>
      <c r="C32" s="40">
        <v>0.4</v>
      </c>
      <c r="D32" s="39">
        <f t="shared" si="0"/>
        <v>8.3333333333333329E-2</v>
      </c>
      <c r="E32" s="24">
        <f t="shared" si="1"/>
        <v>7070</v>
      </c>
      <c r="F32" s="81">
        <f t="shared" si="2"/>
        <v>6.6384976525821593E-2</v>
      </c>
      <c r="G32" s="267" t="s">
        <v>18</v>
      </c>
      <c r="H32" s="19"/>
      <c r="I32" s="36"/>
      <c r="J32" s="13"/>
      <c r="K32" s="16" t="s">
        <v>85</v>
      </c>
      <c r="M32" s="11"/>
      <c r="N32" s="2"/>
      <c r="O32" s="32"/>
      <c r="P32" s="32"/>
      <c r="Q32" s="32"/>
      <c r="R32" s="32"/>
      <c r="S32" s="32"/>
      <c r="T32" s="32"/>
      <c r="V32" s="35"/>
      <c r="W32" s="32"/>
      <c r="X32" s="15"/>
      <c r="Y32" s="35"/>
      <c r="Z32" s="2"/>
      <c r="AA32" s="9"/>
      <c r="AB32" s="2"/>
      <c r="AC32" s="2"/>
      <c r="AD32" s="2"/>
      <c r="AE32" s="2"/>
    </row>
    <row r="33" spans="1:31" ht="15.9" customHeight="1">
      <c r="A33" s="37" t="s">
        <v>17</v>
      </c>
      <c r="B33" s="54" t="s">
        <v>1</v>
      </c>
      <c r="C33" s="40">
        <v>0.46</v>
      </c>
      <c r="D33" s="39">
        <f t="shared" si="0"/>
        <v>9.5833333333333326E-2</v>
      </c>
      <c r="E33" s="24">
        <f t="shared" si="1"/>
        <v>8130.4999999999991</v>
      </c>
      <c r="F33" s="81">
        <f t="shared" si="2"/>
        <v>7.6342723004694829E-2</v>
      </c>
      <c r="G33" s="267" t="s">
        <v>63</v>
      </c>
      <c r="H33" s="19"/>
      <c r="I33" s="36"/>
      <c r="J33" s="13"/>
      <c r="K33" s="12"/>
      <c r="L33" s="32"/>
      <c r="M33" s="32"/>
      <c r="N33" s="32"/>
      <c r="O33" s="32"/>
      <c r="P33" s="32"/>
      <c r="Q33" s="32"/>
      <c r="R33" s="32"/>
      <c r="S33" s="32"/>
      <c r="T33" s="32"/>
      <c r="V33" s="35"/>
      <c r="W33" s="32"/>
      <c r="X33" s="15"/>
      <c r="Y33" s="35"/>
      <c r="Z33" s="2"/>
      <c r="AA33" s="9"/>
      <c r="AB33" s="2"/>
      <c r="AC33" s="2"/>
      <c r="AD33" s="2"/>
      <c r="AE33" s="2"/>
    </row>
    <row r="34" spans="1:31" ht="15.9" customHeight="1">
      <c r="A34" s="37" t="s">
        <v>16</v>
      </c>
      <c r="B34" s="54" t="s">
        <v>1</v>
      </c>
      <c r="C34" s="40">
        <v>0.91</v>
      </c>
      <c r="D34" s="39">
        <f t="shared" si="0"/>
        <v>0.1895833333333333</v>
      </c>
      <c r="E34" s="24">
        <f t="shared" si="1"/>
        <v>16084.249999999996</v>
      </c>
      <c r="F34" s="81">
        <f t="shared" si="2"/>
        <v>0.15102582159624409</v>
      </c>
      <c r="G34" s="266"/>
      <c r="H34" s="19"/>
      <c r="I34" s="36"/>
      <c r="J34" s="13"/>
      <c r="K34" s="12"/>
      <c r="L34" s="32"/>
      <c r="M34" s="32"/>
      <c r="N34" s="32"/>
      <c r="O34" s="32"/>
      <c r="P34" s="32"/>
      <c r="Q34" s="32"/>
      <c r="R34" s="32"/>
      <c r="S34" s="32"/>
      <c r="T34" s="32"/>
      <c r="V34" s="35"/>
      <c r="W34" s="32"/>
      <c r="X34" s="15"/>
      <c r="Y34" s="35"/>
      <c r="Z34" s="2"/>
      <c r="AA34" s="9"/>
      <c r="AB34" s="2"/>
      <c r="AC34" s="2"/>
      <c r="AD34" s="2"/>
      <c r="AE34" s="2"/>
    </row>
    <row r="35" spans="1:31" ht="15.9" customHeight="1">
      <c r="A35" s="37" t="s">
        <v>15</v>
      </c>
      <c r="B35" s="54" t="s">
        <v>1</v>
      </c>
      <c r="C35" s="40">
        <v>0.57999999999999996</v>
      </c>
      <c r="D35" s="39">
        <f t="shared" si="0"/>
        <v>0.12083333333333331</v>
      </c>
      <c r="E35" s="24">
        <f t="shared" si="1"/>
        <v>10251.499999999998</v>
      </c>
      <c r="F35" s="81">
        <f t="shared" si="2"/>
        <v>9.6258215962441301E-2</v>
      </c>
      <c r="G35" s="265" t="s">
        <v>14</v>
      </c>
      <c r="H35" s="19"/>
      <c r="I35" s="36"/>
      <c r="J35" s="13"/>
      <c r="K35" s="12"/>
      <c r="L35" s="32"/>
      <c r="M35" s="32"/>
      <c r="N35" s="32"/>
      <c r="O35" s="32"/>
      <c r="P35" s="32"/>
      <c r="Q35" s="32"/>
      <c r="R35" s="32"/>
      <c r="S35" s="32"/>
      <c r="T35" s="32"/>
      <c r="V35" s="35"/>
      <c r="W35" s="32"/>
      <c r="X35" s="15"/>
      <c r="Y35" s="35"/>
      <c r="Z35" s="2"/>
      <c r="AA35" s="9"/>
      <c r="AB35" s="2"/>
      <c r="AC35" s="2"/>
      <c r="AD35" s="2"/>
      <c r="AE35" s="2"/>
    </row>
    <row r="36" spans="1:31" ht="15.9" customHeight="1">
      <c r="A36" s="117" t="s">
        <v>66</v>
      </c>
      <c r="B36" s="109"/>
      <c r="C36" s="200">
        <f>'Section 3 Add Accounts'!C37</f>
        <v>0</v>
      </c>
      <c r="D36" s="107">
        <f>'Section 3 Add Accounts'!D37</f>
        <v>0</v>
      </c>
      <c r="E36" s="108">
        <f>'Section 3 Add Accounts'!E37</f>
        <v>0</v>
      </c>
      <c r="F36" s="82">
        <f>'Section 3 Add Accounts'!F37</f>
        <v>0</v>
      </c>
      <c r="G36" s="267" t="s">
        <v>64</v>
      </c>
      <c r="H36" s="19"/>
      <c r="I36" s="36"/>
      <c r="J36" s="13"/>
      <c r="K36" s="12"/>
      <c r="L36" s="32"/>
      <c r="M36" s="32"/>
      <c r="N36" s="32"/>
      <c r="O36" s="32"/>
      <c r="P36" s="32"/>
      <c r="Q36" s="32"/>
      <c r="R36" s="32"/>
      <c r="S36" s="32"/>
      <c r="T36" s="32"/>
      <c r="V36" s="35"/>
      <c r="W36" s="32"/>
      <c r="X36" s="15"/>
      <c r="Y36" s="35"/>
      <c r="Z36" s="2"/>
      <c r="AA36" s="9"/>
      <c r="AB36" s="2"/>
      <c r="AC36" s="2"/>
      <c r="AD36" s="2"/>
      <c r="AE36" s="2"/>
    </row>
    <row r="37" spans="1:31" ht="15.9" customHeight="1">
      <c r="A37" s="128" t="s">
        <v>73</v>
      </c>
      <c r="B37" s="128"/>
      <c r="C37" s="142">
        <f>SUM(C27:C36)</f>
        <v>4.5600000000000005</v>
      </c>
      <c r="D37" s="268">
        <f>SUM(D27:D36)</f>
        <v>0.95</v>
      </c>
      <c r="E37" s="140">
        <f>SUM(E27:E36)</f>
        <v>87231.374999999985</v>
      </c>
      <c r="F37" s="141">
        <f>IF($F$42="Yes", SUM(F27:F36), " ")</f>
        <v>0.81907394366197173</v>
      </c>
      <c r="G37" s="262"/>
      <c r="H37" s="34"/>
      <c r="I37" s="13"/>
      <c r="J37" s="13"/>
      <c r="K37" s="12"/>
      <c r="L37" s="32"/>
      <c r="M37" s="32"/>
      <c r="N37" s="32"/>
      <c r="O37" s="32"/>
      <c r="P37" s="32"/>
      <c r="Q37" s="32"/>
      <c r="R37" s="32"/>
      <c r="S37" s="32"/>
      <c r="T37" s="32"/>
      <c r="V37" s="9"/>
      <c r="W37" s="32"/>
      <c r="X37" s="9"/>
      <c r="Y37" s="9"/>
      <c r="Z37" s="2"/>
      <c r="AA37" s="9"/>
      <c r="AB37" s="2"/>
      <c r="AC37" s="2"/>
      <c r="AD37" s="2"/>
      <c r="AE37" s="2"/>
    </row>
    <row r="38" spans="1:31" ht="30" customHeight="1">
      <c r="A38" s="286" t="str">
        <f>IF(AND($D$37&gt;=0.951, $D$37&lt;=1),"Warning! % Effort is Greater Than 95%. You are certifying that all other activities including but not limited to clinical, teaching, administrative &amp; application preparation are included in Cell D39 below. Update CMs above if inaccurate.", IF($D$37&gt;1, "Percent Effort Exceeds 100%. Reduce Effort to 95% or Lower.", ""))</f>
        <v/>
      </c>
      <c r="B38" s="286"/>
      <c r="C38" s="286"/>
      <c r="D38" s="286"/>
      <c r="E38" s="286"/>
      <c r="F38" s="286"/>
      <c r="G38" s="262"/>
      <c r="H38" s="34"/>
      <c r="I38" s="33"/>
      <c r="J38" s="13"/>
      <c r="K38" s="12"/>
      <c r="L38" s="32"/>
      <c r="M38" s="32"/>
      <c r="N38" s="32"/>
      <c r="O38" s="32"/>
      <c r="P38" s="32"/>
      <c r="Q38" s="32"/>
      <c r="R38" s="32"/>
      <c r="S38" s="32"/>
      <c r="T38" s="32"/>
      <c r="V38" s="9"/>
      <c r="W38" s="32"/>
      <c r="X38" s="9"/>
      <c r="Y38" s="9"/>
      <c r="Z38" s="2"/>
      <c r="AA38" s="9"/>
      <c r="AB38" s="2"/>
      <c r="AC38" s="2"/>
      <c r="AD38" s="2"/>
      <c r="AE38" s="2"/>
    </row>
    <row r="39" spans="1:31" ht="15.9" customHeight="1">
      <c r="A39" s="143" t="s">
        <v>13</v>
      </c>
      <c r="B39" s="143"/>
      <c r="C39" s="102">
        <f>F25-C37</f>
        <v>0.24000000000000021</v>
      </c>
      <c r="D39" s="103">
        <f>1-D37</f>
        <v>5.0000000000000044E-2</v>
      </c>
      <c r="E39" s="104">
        <f>IF(OR(B27="No",B28="No",B29="No",B30="No",B31="No",B32="No", B33="No", B34="No", B35="No"),$B$16-E37,$F$19-E37)</f>
        <v>19268.625000000015</v>
      </c>
      <c r="F39" s="203">
        <f>IF($F42="Yes", F40-F37, 0)</f>
        <v>0.18092605633802827</v>
      </c>
      <c r="G39" s="262"/>
      <c r="H39" s="11"/>
      <c r="I39" s="11"/>
      <c r="J39" s="13"/>
      <c r="K39" s="12"/>
      <c r="L39" s="10"/>
      <c r="M39" s="11"/>
      <c r="N39" s="11"/>
      <c r="O39" s="11"/>
      <c r="P39" s="11"/>
      <c r="Q39" s="11"/>
      <c r="R39" s="11"/>
      <c r="S39" s="11"/>
      <c r="T39" s="11"/>
      <c r="U39" s="10"/>
      <c r="X39" s="9"/>
      <c r="Y39" s="2"/>
      <c r="Z39" s="2"/>
      <c r="AA39" s="9"/>
      <c r="AB39" s="8"/>
      <c r="AC39" s="8"/>
      <c r="AD39" s="8"/>
      <c r="AE39" s="5"/>
    </row>
    <row r="40" spans="1:31" ht="15.9" customHeight="1">
      <c r="A40" s="144" t="s">
        <v>71</v>
      </c>
      <c r="B40" s="145"/>
      <c r="C40" s="69">
        <f>C37+C39</f>
        <v>4.8000000000000007</v>
      </c>
      <c r="D40" s="191">
        <f>D37+D39</f>
        <v>1</v>
      </c>
      <c r="E40" s="70">
        <f>E37+E39</f>
        <v>106500</v>
      </c>
      <c r="F40" s="141">
        <f>IF($F$42="Yes", 100%, 0)</f>
        <v>1</v>
      </c>
      <c r="G40" s="262"/>
      <c r="H40" s="11"/>
      <c r="I40" s="27"/>
      <c r="J40" s="13"/>
      <c r="K40" s="12"/>
      <c r="L40" s="10"/>
      <c r="M40" s="11"/>
      <c r="N40" s="11"/>
      <c r="O40" s="11"/>
      <c r="P40" s="11"/>
      <c r="Q40" s="11"/>
      <c r="R40" s="11"/>
      <c r="S40" s="11"/>
      <c r="T40" s="11"/>
      <c r="U40" s="10"/>
      <c r="X40" s="9"/>
      <c r="Y40" s="2"/>
      <c r="Z40" s="2"/>
      <c r="AA40" s="9"/>
      <c r="AB40" s="8"/>
      <c r="AC40" s="8"/>
      <c r="AD40" s="8"/>
      <c r="AE40" s="5"/>
    </row>
    <row r="41" spans="1:31" ht="19.95" customHeight="1">
      <c r="A41" s="175" t="s">
        <v>50</v>
      </c>
      <c r="B41" s="128"/>
      <c r="C41" s="57"/>
      <c r="D41" s="31"/>
      <c r="E41" s="57"/>
      <c r="F41" s="176" t="s">
        <v>12</v>
      </c>
      <c r="G41" s="262"/>
      <c r="H41" s="20"/>
      <c r="I41" s="11"/>
      <c r="J41" s="13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X41" s="2"/>
      <c r="Y41" s="2"/>
      <c r="Z41" s="2"/>
      <c r="AA41" s="9"/>
      <c r="AB41" s="8"/>
      <c r="AC41" s="8"/>
      <c r="AD41" s="8"/>
      <c r="AE41" s="5"/>
    </row>
    <row r="42" spans="1:31" ht="16.2">
      <c r="A42" s="202" t="s">
        <v>72</v>
      </c>
      <c r="B42" s="178"/>
      <c r="C42" s="271"/>
      <c r="D42" s="31"/>
      <c r="E42" s="179"/>
      <c r="F42" s="86" t="s">
        <v>1</v>
      </c>
      <c r="G42" s="262"/>
      <c r="H42" s="11"/>
      <c r="I42" s="11"/>
      <c r="J42" s="13"/>
      <c r="K42" s="12"/>
      <c r="L42" s="10"/>
      <c r="M42" s="11"/>
      <c r="N42" s="11"/>
      <c r="O42" s="11"/>
      <c r="P42" s="11"/>
      <c r="Q42" s="11"/>
      <c r="R42" s="11"/>
      <c r="S42" s="11"/>
      <c r="T42" s="11"/>
      <c r="U42" s="10"/>
      <c r="X42" s="2"/>
      <c r="Y42" s="2"/>
      <c r="Z42" s="2"/>
      <c r="AA42" s="9"/>
      <c r="AB42" s="8"/>
      <c r="AC42" s="8"/>
      <c r="AD42" s="8"/>
      <c r="AE42" s="5"/>
    </row>
    <row r="43" spans="1:31" ht="15.6" customHeight="1">
      <c r="A43" s="181" t="str">
        <f>IF($F$42="Yes", "If Yes, process salary source transactions as indicated above in Section 3 the ''% Eff for Paas''column.  Skip section 5.","If the answer is No, complete section 5.")</f>
        <v>If Yes, process salary source transactions as indicated above in Section 3 the ''% Eff for Paas''column.  Skip section 5.</v>
      </c>
      <c r="B43" s="178"/>
      <c r="C43" s="57"/>
      <c r="D43" s="31"/>
      <c r="E43" s="179"/>
      <c r="F43" s="28"/>
      <c r="G43" s="262"/>
      <c r="H43" s="11"/>
      <c r="I43" s="11"/>
      <c r="J43" s="13"/>
      <c r="K43" s="12"/>
      <c r="L43" s="10"/>
      <c r="M43" s="11"/>
      <c r="N43" s="11"/>
      <c r="O43" s="11"/>
      <c r="P43" s="11"/>
      <c r="Q43" s="11"/>
      <c r="R43" s="11"/>
      <c r="S43" s="11"/>
      <c r="T43" s="11"/>
      <c r="U43" s="10"/>
      <c r="X43" s="2"/>
      <c r="Y43" s="2"/>
      <c r="Z43" s="2"/>
      <c r="AA43" s="9"/>
      <c r="AB43" s="8"/>
      <c r="AC43" s="8"/>
      <c r="AD43" s="8"/>
      <c r="AE43" s="5"/>
    </row>
    <row r="44" spans="1:31" ht="15.9" customHeight="1">
      <c r="A44" s="201" t="s">
        <v>51</v>
      </c>
      <c r="B44" s="128"/>
      <c r="C44" s="57"/>
      <c r="D44" s="31"/>
      <c r="E44" s="57"/>
      <c r="F44" s="204"/>
      <c r="G44" s="262"/>
      <c r="I44" s="11"/>
      <c r="J44" s="13"/>
      <c r="K44" s="12"/>
      <c r="L44" s="10"/>
      <c r="M44" s="11"/>
      <c r="N44" s="11"/>
      <c r="O44" s="11"/>
      <c r="P44" s="11"/>
      <c r="Q44" s="11"/>
      <c r="R44" s="11"/>
      <c r="S44" s="11"/>
      <c r="T44" s="11"/>
      <c r="U44" s="10"/>
      <c r="V44" s="2"/>
      <c r="W44" s="2"/>
      <c r="X44" s="2"/>
      <c r="Y44" s="2"/>
      <c r="Z44" s="2"/>
      <c r="AA44" s="9"/>
      <c r="AB44" s="8"/>
      <c r="AC44" s="8"/>
      <c r="AD44" s="8"/>
      <c r="AE44" s="5"/>
    </row>
    <row r="45" spans="1:31" ht="15.6" customHeight="1">
      <c r="A45" s="202" t="s">
        <v>48</v>
      </c>
      <c r="B45" s="178"/>
      <c r="C45" s="57"/>
      <c r="D45" s="31"/>
      <c r="E45" s="179"/>
      <c r="F45" s="204"/>
      <c r="G45" s="262"/>
      <c r="H45" s="262"/>
      <c r="I45" s="11"/>
      <c r="J45" s="13"/>
      <c r="K45" s="12"/>
      <c r="L45" s="10"/>
      <c r="M45" s="11"/>
      <c r="N45" s="11"/>
      <c r="O45" s="11"/>
      <c r="P45" s="11"/>
      <c r="Q45" s="11"/>
      <c r="R45" s="11"/>
      <c r="S45" s="11"/>
      <c r="T45" s="11"/>
      <c r="U45" s="10"/>
      <c r="V45" s="2"/>
      <c r="W45" s="2"/>
      <c r="X45" s="2"/>
      <c r="Y45" s="2"/>
      <c r="Z45" s="2"/>
      <c r="AA45" s="9"/>
      <c r="AB45" s="8"/>
      <c r="AC45" s="8"/>
      <c r="AD45" s="8"/>
      <c r="AE45" s="5"/>
    </row>
    <row r="46" spans="1:31" ht="15.6" customHeight="1">
      <c r="A46" s="202" t="s">
        <v>96</v>
      </c>
      <c r="B46" s="178"/>
      <c r="C46" s="57"/>
      <c r="D46" s="31"/>
      <c r="E46" s="179"/>
      <c r="F46" s="204"/>
      <c r="G46" s="262"/>
      <c r="H46" s="262"/>
      <c r="I46" s="11"/>
      <c r="J46" s="13"/>
      <c r="K46" s="12"/>
      <c r="L46" s="10"/>
      <c r="M46" s="11"/>
      <c r="N46" s="11"/>
      <c r="O46" s="11"/>
      <c r="P46" s="11"/>
      <c r="Q46" s="11"/>
      <c r="R46" s="11"/>
      <c r="S46" s="11"/>
      <c r="T46" s="11"/>
      <c r="U46" s="10"/>
      <c r="V46" s="2"/>
      <c r="W46" s="2"/>
      <c r="X46" s="2"/>
      <c r="Y46" s="2"/>
      <c r="Z46" s="2"/>
      <c r="AA46" s="9"/>
      <c r="AB46" s="8"/>
      <c r="AC46" s="8"/>
      <c r="AD46" s="8"/>
      <c r="AE46" s="5"/>
    </row>
    <row r="47" spans="1:31" ht="15.6" customHeight="1">
      <c r="A47" s="128" t="s">
        <v>11</v>
      </c>
      <c r="B47" s="128" t="s">
        <v>46</v>
      </c>
      <c r="C47" s="129" t="s">
        <v>47</v>
      </c>
      <c r="D47" s="130" t="s">
        <v>10</v>
      </c>
      <c r="E47" s="132" t="str">
        <f>IF($F$42="No", "Sal Charged", " ")</f>
        <v xml:space="preserve"> </v>
      </c>
      <c r="F47" s="146" t="str">
        <f>IF($F$42="No", "% Effort for PaaS", " ")</f>
        <v xml:space="preserve"> </v>
      </c>
      <c r="H47" s="14"/>
      <c r="I47" s="11"/>
      <c r="K47" s="12"/>
      <c r="L47" s="10"/>
      <c r="M47" s="11"/>
      <c r="N47" s="11"/>
      <c r="O47" s="11"/>
      <c r="P47" s="11"/>
      <c r="Q47" s="11"/>
      <c r="R47" s="11"/>
      <c r="S47" s="11"/>
      <c r="T47" s="11"/>
      <c r="U47" s="10"/>
      <c r="V47" s="2"/>
      <c r="W47" s="2"/>
      <c r="X47" s="2"/>
      <c r="Y47" s="2"/>
      <c r="Z47" s="2"/>
      <c r="AA47" s="9"/>
      <c r="AB47" s="8"/>
      <c r="AC47" s="8"/>
      <c r="AD47" s="8"/>
      <c r="AE47" s="5"/>
    </row>
    <row r="48" spans="1:31" ht="15.9" customHeight="1">
      <c r="A48" s="24" t="str">
        <f>IF($F$42="No", A27,  " ")</f>
        <v xml:space="preserve"> </v>
      </c>
      <c r="B48" s="24" t="str">
        <f>IF($F$42="No", B27,  " ")</f>
        <v xml:space="preserve"> </v>
      </c>
      <c r="C48" s="40">
        <v>0</v>
      </c>
      <c r="D48" s="276" t="str">
        <f>IF($F$42="No", C48/$F$25,  "-")</f>
        <v>-</v>
      </c>
      <c r="E48" s="85">
        <f>IF($F$42="No",  F48*$B$16,  0)</f>
        <v>0</v>
      </c>
      <c r="F48" s="275" t="str">
        <f t="shared" ref="F48:F56" si="3">IF($F$42="Yes","-",IF(B48="No",D48,D48*$F$65))</f>
        <v>-</v>
      </c>
      <c r="K48" s="250"/>
      <c r="L48" s="2"/>
      <c r="M48" s="11"/>
      <c r="N48" s="11"/>
      <c r="O48" s="11"/>
      <c r="P48" s="11"/>
      <c r="Q48" s="11"/>
      <c r="R48" s="11"/>
      <c r="S48" s="11"/>
      <c r="T48" s="11"/>
      <c r="U48" s="10"/>
      <c r="V48" s="2"/>
      <c r="W48" s="9"/>
      <c r="X48" s="2"/>
      <c r="Y48" s="2"/>
      <c r="Z48" s="2"/>
      <c r="AA48" s="9"/>
      <c r="AB48" s="8"/>
      <c r="AC48" s="8"/>
      <c r="AD48" s="8"/>
      <c r="AE48" s="5"/>
    </row>
    <row r="49" spans="1:31" ht="15.9" customHeight="1">
      <c r="A49" s="26" t="str">
        <f>IF($F$42="No", A28,  "Leave this section blank.")</f>
        <v>Leave this section blank.</v>
      </c>
      <c r="B49" s="24" t="str">
        <f>IF($F$42="No", B28,  " ")</f>
        <v xml:space="preserve"> </v>
      </c>
      <c r="C49" s="40">
        <v>0</v>
      </c>
      <c r="D49" s="276" t="str">
        <f t="shared" ref="D49:D56" si="4">IF($F$42="No", C49/$F$25,  "-")</f>
        <v>-</v>
      </c>
      <c r="E49" s="85">
        <f t="shared" ref="E49:E56" si="5">IF($F$42="No",  F49*$B$16,  0)</f>
        <v>0</v>
      </c>
      <c r="F49" s="275" t="str">
        <f t="shared" si="3"/>
        <v>-</v>
      </c>
      <c r="H49" s="16"/>
      <c r="K49" s="250"/>
      <c r="L49" s="2"/>
      <c r="M49" s="11"/>
      <c r="N49" s="11"/>
      <c r="O49" s="11"/>
      <c r="P49" s="11"/>
      <c r="Q49" s="11"/>
      <c r="R49" s="11"/>
      <c r="S49" s="11"/>
      <c r="T49" s="11"/>
      <c r="U49" s="10"/>
      <c r="V49" s="2"/>
      <c r="W49" s="9"/>
      <c r="X49" s="2"/>
      <c r="Y49" s="2"/>
      <c r="Z49" s="2"/>
      <c r="AA49" s="9"/>
      <c r="AB49" s="8"/>
      <c r="AC49" s="8"/>
      <c r="AD49" s="8"/>
      <c r="AE49" s="5"/>
    </row>
    <row r="50" spans="1:31" ht="15.9" customHeight="1">
      <c r="A50" s="24" t="str">
        <f>IF($F$42="No", A29,  "You may wish to hide the rows")</f>
        <v>You may wish to hide the rows</v>
      </c>
      <c r="B50" s="24" t="str">
        <f>IF($F$42="No", B29,  " ")</f>
        <v xml:space="preserve"> </v>
      </c>
      <c r="C50" s="40">
        <v>0</v>
      </c>
      <c r="D50" s="276" t="str">
        <f t="shared" si="4"/>
        <v>-</v>
      </c>
      <c r="E50" s="85">
        <f t="shared" si="5"/>
        <v>0</v>
      </c>
      <c r="F50" s="275" t="str">
        <f t="shared" si="3"/>
        <v>-</v>
      </c>
      <c r="K50" s="250"/>
      <c r="L50" s="2"/>
      <c r="M50" s="11"/>
      <c r="N50" s="11"/>
      <c r="O50" s="11"/>
      <c r="P50" s="11"/>
      <c r="Q50" s="11"/>
      <c r="R50" s="11"/>
      <c r="S50" s="11"/>
      <c r="T50" s="11"/>
      <c r="U50" s="10"/>
      <c r="V50" s="2"/>
      <c r="W50" s="9"/>
      <c r="X50" s="2"/>
      <c r="Y50" s="2"/>
      <c r="Z50" s="2"/>
      <c r="AA50" s="9"/>
      <c r="AB50" s="8"/>
      <c r="AC50" s="8"/>
      <c r="AD50" s="8"/>
      <c r="AE50" s="5"/>
    </row>
    <row r="51" spans="1:31" ht="15.9" customHeight="1">
      <c r="A51" s="24" t="str">
        <f>IF($F$42="No", A30,  "in this section before printing.")</f>
        <v>in this section before printing.</v>
      </c>
      <c r="B51" s="24" t="str">
        <f t="shared" ref="B51:B56" si="6">IF($F$42="No", B30,  " ")</f>
        <v xml:space="preserve"> </v>
      </c>
      <c r="C51" s="40">
        <v>0</v>
      </c>
      <c r="D51" s="276" t="str">
        <f t="shared" si="4"/>
        <v>-</v>
      </c>
      <c r="E51" s="85">
        <f t="shared" si="5"/>
        <v>0</v>
      </c>
      <c r="F51" s="275" t="str">
        <f t="shared" si="3"/>
        <v>-</v>
      </c>
      <c r="G51" s="264" t="s">
        <v>9</v>
      </c>
      <c r="K51" s="250"/>
      <c r="L51" s="2"/>
      <c r="M51" s="11"/>
      <c r="N51" s="11"/>
      <c r="O51" s="11"/>
      <c r="P51" s="11"/>
      <c r="Q51" s="11"/>
      <c r="R51" s="11"/>
      <c r="S51" s="11"/>
      <c r="T51" s="11"/>
      <c r="U51" s="10"/>
      <c r="V51" s="2"/>
      <c r="W51" s="9"/>
      <c r="X51" s="2"/>
      <c r="Y51" s="2"/>
      <c r="Z51" s="2"/>
      <c r="AA51" s="9"/>
      <c r="AB51" s="8"/>
      <c r="AC51" s="8"/>
      <c r="AD51" s="8"/>
      <c r="AE51" s="5"/>
    </row>
    <row r="52" spans="1:31" ht="15.9" customHeight="1">
      <c r="A52" s="24" t="str">
        <f>IF($F$42="No", A31,  " ")</f>
        <v xml:space="preserve"> </v>
      </c>
      <c r="B52" s="24" t="str">
        <f t="shared" si="6"/>
        <v xml:space="preserve"> </v>
      </c>
      <c r="C52" s="40">
        <v>0</v>
      </c>
      <c r="D52" s="276" t="str">
        <f t="shared" si="4"/>
        <v>-</v>
      </c>
      <c r="E52" s="85">
        <f t="shared" si="5"/>
        <v>0</v>
      </c>
      <c r="F52" s="275" t="str">
        <f t="shared" si="3"/>
        <v>-</v>
      </c>
      <c r="G52" s="263" t="s">
        <v>86</v>
      </c>
      <c r="K52" s="10"/>
      <c r="L52" s="2"/>
      <c r="M52" s="11"/>
      <c r="N52" s="11"/>
      <c r="O52" s="11"/>
      <c r="P52" s="11"/>
      <c r="Q52" s="11"/>
      <c r="R52" s="11"/>
      <c r="S52" s="11"/>
      <c r="T52" s="11"/>
      <c r="U52" s="10"/>
      <c r="V52" s="2"/>
      <c r="W52" s="9"/>
      <c r="X52" s="2"/>
      <c r="Y52" s="2"/>
      <c r="Z52" s="2"/>
      <c r="AA52" s="9"/>
      <c r="AB52" s="8"/>
      <c r="AC52" s="8"/>
      <c r="AD52" s="8"/>
      <c r="AE52" s="5"/>
    </row>
    <row r="53" spans="1:31" ht="15.9" customHeight="1">
      <c r="A53" s="24" t="str">
        <f>IF($F$42="No", A32,  " ")</f>
        <v xml:space="preserve"> </v>
      </c>
      <c r="B53" s="24" t="str">
        <f t="shared" si="6"/>
        <v xml:space="preserve"> </v>
      </c>
      <c r="C53" s="40">
        <v>0</v>
      </c>
      <c r="D53" s="276" t="str">
        <f t="shared" si="4"/>
        <v>-</v>
      </c>
      <c r="E53" s="85">
        <f t="shared" si="5"/>
        <v>0</v>
      </c>
      <c r="F53" s="275" t="str">
        <f t="shared" si="3"/>
        <v>-</v>
      </c>
      <c r="G53" s="264"/>
      <c r="K53" s="11"/>
      <c r="L53" s="2"/>
      <c r="M53" s="11"/>
      <c r="N53" s="11"/>
      <c r="O53" s="11"/>
      <c r="P53" s="11"/>
      <c r="Q53" s="11"/>
      <c r="R53" s="11"/>
      <c r="S53" s="11"/>
      <c r="T53" s="11"/>
      <c r="U53" s="10"/>
      <c r="V53" s="2"/>
      <c r="W53" s="9"/>
      <c r="X53" s="2"/>
      <c r="Y53" s="2"/>
      <c r="Z53" s="2"/>
      <c r="AA53" s="9"/>
      <c r="AB53" s="8"/>
      <c r="AC53" s="8"/>
      <c r="AD53" s="8"/>
      <c r="AE53" s="5"/>
    </row>
    <row r="54" spans="1:31" ht="15.9" customHeight="1">
      <c r="A54" s="24" t="str">
        <f>IF($F$42="No", A33,  " ")</f>
        <v xml:space="preserve"> </v>
      </c>
      <c r="B54" s="24" t="str">
        <f t="shared" si="6"/>
        <v xml:space="preserve"> </v>
      </c>
      <c r="C54" s="40">
        <v>0</v>
      </c>
      <c r="D54" s="276" t="str">
        <f t="shared" si="4"/>
        <v>-</v>
      </c>
      <c r="E54" s="85">
        <f t="shared" si="5"/>
        <v>0</v>
      </c>
      <c r="F54" s="275" t="str">
        <f t="shared" si="3"/>
        <v>-</v>
      </c>
      <c r="G54" s="263" t="s">
        <v>8</v>
      </c>
      <c r="K54" s="11"/>
      <c r="L54" s="2"/>
      <c r="M54" s="11"/>
      <c r="N54" s="11"/>
      <c r="O54" s="11"/>
      <c r="P54" s="11"/>
      <c r="Q54" s="11"/>
      <c r="R54" s="11"/>
      <c r="S54" s="11"/>
      <c r="T54" s="11"/>
      <c r="U54" s="22"/>
      <c r="V54" s="2"/>
      <c r="W54" s="9"/>
      <c r="X54" s="2"/>
      <c r="Y54" s="15"/>
      <c r="Z54" s="2"/>
      <c r="AA54" s="9"/>
      <c r="AB54" s="8"/>
      <c r="AC54" s="8"/>
      <c r="AD54" s="8"/>
      <c r="AE54" s="5"/>
    </row>
    <row r="55" spans="1:31" ht="15.9" customHeight="1">
      <c r="A55" s="24" t="str">
        <f>IF($F$42="No", A34,  " ")</f>
        <v xml:space="preserve"> </v>
      </c>
      <c r="B55" s="24" t="str">
        <f t="shared" si="6"/>
        <v xml:space="preserve"> </v>
      </c>
      <c r="C55" s="40">
        <v>0</v>
      </c>
      <c r="D55" s="276" t="str">
        <f t="shared" si="4"/>
        <v>-</v>
      </c>
      <c r="E55" s="85">
        <f t="shared" si="5"/>
        <v>0</v>
      </c>
      <c r="F55" s="275" t="str">
        <f t="shared" si="3"/>
        <v>-</v>
      </c>
      <c r="G55" s="263" t="s">
        <v>74</v>
      </c>
      <c r="K55" s="11"/>
      <c r="L55" s="2"/>
      <c r="M55" s="11"/>
      <c r="N55" s="11"/>
      <c r="O55" s="11"/>
      <c r="P55" s="11"/>
      <c r="Q55" s="11"/>
      <c r="R55" s="11"/>
      <c r="S55" s="11"/>
      <c r="T55" s="11"/>
      <c r="U55" s="22"/>
      <c r="V55" s="15"/>
      <c r="W55" s="2"/>
      <c r="X55" s="2"/>
      <c r="Y55" s="15"/>
      <c r="Z55" s="2"/>
      <c r="AA55" s="9"/>
      <c r="AB55" s="8"/>
      <c r="AC55" s="8"/>
      <c r="AD55" s="8"/>
      <c r="AE55" s="5"/>
    </row>
    <row r="56" spans="1:31" ht="15.9" customHeight="1">
      <c r="A56" s="24" t="str">
        <f>IF($F$42="No", A35,  " ")</f>
        <v xml:space="preserve"> </v>
      </c>
      <c r="B56" s="24" t="str">
        <f t="shared" si="6"/>
        <v xml:space="preserve"> </v>
      </c>
      <c r="C56" s="40">
        <v>0</v>
      </c>
      <c r="D56" s="276" t="str">
        <f t="shared" si="4"/>
        <v>-</v>
      </c>
      <c r="E56" s="85">
        <f t="shared" si="5"/>
        <v>0</v>
      </c>
      <c r="F56" s="275" t="str">
        <f t="shared" si="3"/>
        <v>-</v>
      </c>
      <c r="G56" s="263"/>
      <c r="I56" s="5"/>
      <c r="J56" s="5"/>
      <c r="K56" s="230"/>
      <c r="L56" s="2"/>
      <c r="M56" s="11"/>
      <c r="N56" s="11"/>
      <c r="O56" s="11"/>
      <c r="P56" s="11"/>
      <c r="Q56" s="11"/>
      <c r="R56" s="11"/>
      <c r="S56" s="11"/>
      <c r="T56" s="11"/>
      <c r="U56" s="22"/>
      <c r="V56" s="15"/>
      <c r="W56" s="2"/>
      <c r="X56" s="2"/>
      <c r="Y56" s="15"/>
      <c r="Z56" s="2"/>
      <c r="AA56" s="9"/>
      <c r="AB56" s="8"/>
      <c r="AC56" s="8"/>
      <c r="AD56" s="8"/>
      <c r="AE56" s="5"/>
    </row>
    <row r="57" spans="1:31" ht="15.9" customHeight="1">
      <c r="A57" s="117" t="s">
        <v>67</v>
      </c>
      <c r="B57" s="108"/>
      <c r="C57" s="205">
        <f>'Section 5 Add Accounts'!C44</f>
        <v>0</v>
      </c>
      <c r="D57" s="186">
        <f>'Section 5 Add Accounts'!D44</f>
        <v>0</v>
      </c>
      <c r="E57" s="170">
        <f>'Section 5 Add Accounts'!E44</f>
        <v>0</v>
      </c>
      <c r="F57" s="82">
        <f>'Section 5 Add Accounts'!F44</f>
        <v>0</v>
      </c>
      <c r="G57" s="263"/>
      <c r="I57" s="11"/>
      <c r="K57" s="11"/>
      <c r="L57" s="2"/>
      <c r="M57" s="11"/>
      <c r="N57" s="11"/>
      <c r="O57" s="11"/>
      <c r="P57" s="11"/>
      <c r="Q57" s="11"/>
      <c r="R57" s="11"/>
      <c r="S57" s="11"/>
      <c r="T57" s="11"/>
      <c r="U57" s="22"/>
      <c r="V57" s="15"/>
      <c r="W57" s="2"/>
      <c r="X57" s="2"/>
      <c r="Y57" s="15"/>
      <c r="Z57" s="2"/>
      <c r="AA57" s="9"/>
      <c r="AB57" s="8"/>
      <c r="AC57" s="8"/>
      <c r="AD57" s="8"/>
      <c r="AE57" s="5"/>
    </row>
    <row r="58" spans="1:31" ht="15.9" customHeight="1">
      <c r="A58" s="128" t="s">
        <v>73</v>
      </c>
      <c r="B58" s="206"/>
      <c r="C58" s="148">
        <f>SUM(C48:C57)</f>
        <v>0</v>
      </c>
      <c r="D58" s="141">
        <f>SUM(D48:D57)</f>
        <v>0</v>
      </c>
      <c r="E58" s="147">
        <f>SUM(E48:E57)</f>
        <v>0</v>
      </c>
      <c r="F58" s="138">
        <f>SUM(F48:F57)</f>
        <v>0</v>
      </c>
      <c r="G58" s="262"/>
      <c r="I58" s="11"/>
      <c r="K58" s="11"/>
      <c r="L58" s="10"/>
      <c r="M58" s="11"/>
      <c r="N58" s="11"/>
      <c r="O58" s="11"/>
      <c r="P58" s="11"/>
      <c r="Q58" s="11"/>
      <c r="R58" s="11"/>
      <c r="S58" s="11"/>
      <c r="T58" s="11"/>
      <c r="U58" s="22"/>
      <c r="V58" s="15"/>
      <c r="W58" s="2"/>
      <c r="X58" s="2"/>
      <c r="Y58" s="15"/>
      <c r="Z58" s="2"/>
      <c r="AA58" s="9"/>
      <c r="AB58" s="8"/>
      <c r="AC58" s="8"/>
      <c r="AD58" s="8"/>
      <c r="AE58" s="5"/>
    </row>
    <row r="59" spans="1:31" ht="30" customHeight="1">
      <c r="A59" s="286" t="str">
        <f>IF(AND($D$58&gt;=0.951, $D$58&lt;=1),"Warning! % Effort is Greater Than 95%. You are certifying that all other activities including but not limited to clinical, teaching, administrative &amp; application preparation are included in Cell D59 below. Update CMs above if inaccurate.", IF($D$58&gt;1, "Percent Effort Exceeds 100%. Reduce Effort to 95% or Lower.", ""))</f>
        <v/>
      </c>
      <c r="B59" s="286"/>
      <c r="C59" s="286"/>
      <c r="D59" s="286"/>
      <c r="E59" s="286"/>
      <c r="F59" s="286"/>
      <c r="G59" s="261"/>
      <c r="H59" s="34"/>
      <c r="I59" s="33"/>
      <c r="J59" s="13"/>
      <c r="K59" s="12"/>
      <c r="L59" s="32"/>
      <c r="M59" s="32"/>
      <c r="N59" s="32"/>
      <c r="O59" s="32"/>
      <c r="P59" s="32"/>
      <c r="Q59" s="32"/>
      <c r="R59" s="32"/>
      <c r="S59" s="32"/>
      <c r="T59" s="32"/>
      <c r="V59" s="9"/>
      <c r="W59" s="32"/>
      <c r="X59" s="9"/>
      <c r="Y59" s="9"/>
      <c r="Z59" s="2"/>
      <c r="AA59" s="9"/>
      <c r="AB59" s="2"/>
      <c r="AC59" s="2"/>
      <c r="AD59" s="2"/>
      <c r="AE59" s="2"/>
    </row>
    <row r="60" spans="1:31" ht="15.9" customHeight="1">
      <c r="A60" s="143" t="s">
        <v>13</v>
      </c>
      <c r="B60" s="143"/>
      <c r="C60" s="102" t="str">
        <f>IF($F$42="Yes", " ", $F$25-C58)</f>
        <v xml:space="preserve"> </v>
      </c>
      <c r="D60" s="103" t="str">
        <f>IF($F$42="Yes", " ", 1-D58)</f>
        <v xml:space="preserve"> </v>
      </c>
      <c r="E60" s="104" t="str">
        <f>IF(F42="Yes", " ", IF(OR(B48="No",$B$49="No",$B$50="No",$B$51="No",$B$52="No",$B$53="No",$B$54="No",$B$55="No",$B$56="No"),$B$16-E58,$F$19-E58))</f>
        <v xml:space="preserve"> </v>
      </c>
      <c r="F60" s="203">
        <f>IF($F$42="Yes", 0, F61-F58)</f>
        <v>0</v>
      </c>
      <c r="G60" s="261"/>
      <c r="H60" s="11"/>
      <c r="I60" s="104"/>
      <c r="J60" s="13"/>
      <c r="K60" s="12"/>
      <c r="L60" s="10"/>
      <c r="M60" s="11"/>
      <c r="N60" s="11"/>
      <c r="O60" s="11"/>
      <c r="P60" s="11"/>
      <c r="Q60" s="11"/>
      <c r="R60" s="11"/>
      <c r="S60" s="11"/>
      <c r="T60" s="11"/>
      <c r="U60" s="10"/>
      <c r="X60" s="9"/>
      <c r="Y60" s="2"/>
      <c r="Z60" s="2"/>
      <c r="AA60" s="9"/>
      <c r="AB60" s="8"/>
      <c r="AC60" s="8"/>
      <c r="AD60" s="8"/>
      <c r="AE60" s="5"/>
    </row>
    <row r="61" spans="1:31" ht="15.9" customHeight="1">
      <c r="A61" s="144" t="s">
        <v>75</v>
      </c>
      <c r="B61" s="145"/>
      <c r="C61" s="69" t="str">
        <f>IF($F$42="Yes", " ", C58+C60)</f>
        <v xml:space="preserve"> </v>
      </c>
      <c r="D61" s="191" t="str">
        <f>IF($F$42="Yes", " ", D58+D60)</f>
        <v xml:space="preserve"> </v>
      </c>
      <c r="E61" s="70" t="str">
        <f>IF(F42="Yes", " ", E58+E60)</f>
        <v xml:space="preserve"> </v>
      </c>
      <c r="F61" s="141">
        <f>IF($F$42="Yes", 0, 100%)</f>
        <v>0</v>
      </c>
      <c r="H61" s="11"/>
      <c r="I61" s="27"/>
      <c r="J61" s="13"/>
      <c r="K61" s="12"/>
      <c r="L61" s="10"/>
      <c r="M61" s="11"/>
      <c r="N61" s="11"/>
      <c r="O61" s="11"/>
      <c r="P61" s="11"/>
      <c r="Q61" s="11"/>
      <c r="R61" s="11"/>
      <c r="S61" s="11"/>
      <c r="T61" s="11"/>
      <c r="U61" s="10"/>
      <c r="X61" s="9"/>
      <c r="Y61" s="2"/>
      <c r="Z61" s="2"/>
      <c r="AA61" s="9"/>
      <c r="AB61" s="8"/>
      <c r="AC61" s="8"/>
      <c r="AD61" s="8"/>
      <c r="AE61" s="5"/>
    </row>
    <row r="62" spans="1:31" ht="15.9" customHeight="1">
      <c r="A62" s="128" t="s">
        <v>37</v>
      </c>
      <c r="B62" s="128"/>
      <c r="C62" s="57"/>
      <c r="D62" s="57"/>
      <c r="E62" s="169"/>
      <c r="F62" s="57"/>
      <c r="G62" s="261"/>
      <c r="V62" s="15"/>
      <c r="W62" s="2"/>
      <c r="X62" s="2"/>
      <c r="Y62" s="2"/>
      <c r="Z62" s="2"/>
      <c r="AA62" s="2"/>
      <c r="AB62" s="5"/>
      <c r="AC62" s="5"/>
      <c r="AD62" s="5"/>
      <c r="AE62" s="5"/>
    </row>
    <row r="63" spans="1:31" ht="15.9" customHeight="1">
      <c r="A63" s="149" t="s">
        <v>83</v>
      </c>
      <c r="B63" s="150"/>
      <c r="C63" s="77">
        <f>IF(F42="Yes", E37, E58)</f>
        <v>87231.374999999985</v>
      </c>
      <c r="D63" s="3"/>
      <c r="E63" s="151" t="s">
        <v>44</v>
      </c>
      <c r="F63" s="87">
        <f>F19</f>
        <v>84840</v>
      </c>
      <c r="G63" s="261"/>
      <c r="V63" s="15"/>
      <c r="W63" s="2"/>
      <c r="X63" s="2"/>
      <c r="Y63" s="2"/>
      <c r="Z63" s="2"/>
      <c r="AA63" s="2"/>
      <c r="AB63" s="5"/>
      <c r="AC63" s="5"/>
      <c r="AD63" s="5"/>
      <c r="AE63" s="5"/>
    </row>
    <row r="64" spans="1:31" ht="15.9" customHeight="1">
      <c r="A64" s="149" t="s">
        <v>6</v>
      </c>
      <c r="B64" s="150"/>
      <c r="C64" s="78">
        <f>B16</f>
        <v>106500</v>
      </c>
      <c r="D64" s="3"/>
      <c r="E64" s="151" t="s">
        <v>45</v>
      </c>
      <c r="F64" s="88">
        <f>B16</f>
        <v>106500</v>
      </c>
      <c r="G64" s="261"/>
      <c r="V64" s="15"/>
      <c r="W64" s="2"/>
      <c r="X64" s="2"/>
      <c r="Y64" s="2"/>
      <c r="Z64" s="2"/>
      <c r="AA64" s="2"/>
      <c r="AB64" s="5"/>
      <c r="AC64" s="5"/>
      <c r="AD64" s="5"/>
      <c r="AE64" s="5"/>
    </row>
    <row r="65" spans="1:31" ht="15.9" customHeight="1">
      <c r="A65" s="152" t="s">
        <v>7</v>
      </c>
      <c r="B65" s="153"/>
      <c r="C65" s="192">
        <f>C63/C64</f>
        <v>0.81907394366197173</v>
      </c>
      <c r="D65" s="3"/>
      <c r="E65" s="154" t="s">
        <v>5</v>
      </c>
      <c r="F65" s="163">
        <f>F63/F64</f>
        <v>0.79661971830985912</v>
      </c>
      <c r="V65" s="15"/>
      <c r="W65" s="2"/>
      <c r="X65" s="2"/>
      <c r="Y65" s="2"/>
      <c r="Z65" s="2"/>
      <c r="AA65" s="2"/>
      <c r="AB65" s="5"/>
      <c r="AC65" s="5"/>
      <c r="AD65" s="5"/>
      <c r="AE65" s="5"/>
    </row>
    <row r="66" spans="1:31" ht="30.6" customHeight="1">
      <c r="A66" s="282" t="s">
        <v>49</v>
      </c>
      <c r="B66" s="282"/>
      <c r="C66" s="193">
        <f>IF(F42="Yes", D37-F37, D58-F58)</f>
        <v>0.13092605633802823</v>
      </c>
      <c r="D66" s="39"/>
      <c r="E66" s="169"/>
      <c r="F66" s="57"/>
      <c r="H66" s="16"/>
      <c r="I66" s="2"/>
      <c r="J66" s="2"/>
      <c r="V66" s="15"/>
      <c r="W66" s="2"/>
      <c r="X66" s="2"/>
      <c r="Y66" s="2"/>
      <c r="Z66" s="2"/>
      <c r="AA66" s="2"/>
      <c r="AB66" s="5"/>
      <c r="AC66" s="5"/>
      <c r="AD66" s="5"/>
      <c r="AE66" s="5"/>
    </row>
    <row r="67" spans="1:31" ht="22.95" customHeight="1">
      <c r="A67" s="128" t="s">
        <v>38</v>
      </c>
      <c r="B67" s="128"/>
      <c r="C67" s="232">
        <f>C65+C66</f>
        <v>0.95</v>
      </c>
      <c r="D67" s="231" t="s">
        <v>89</v>
      </c>
      <c r="E67" s="39"/>
      <c r="F67" s="169"/>
      <c r="H67" s="11"/>
      <c r="I67" s="11"/>
      <c r="J67" s="13"/>
      <c r="K67" s="12"/>
      <c r="L67" s="10"/>
      <c r="M67" s="11"/>
      <c r="N67" s="11"/>
      <c r="O67" s="11"/>
      <c r="P67" s="11"/>
      <c r="Q67" s="11"/>
      <c r="R67" s="11"/>
      <c r="S67" s="11"/>
      <c r="T67" s="11"/>
      <c r="U67" s="10"/>
      <c r="V67" s="2"/>
      <c r="W67" s="2"/>
      <c r="X67" s="9"/>
      <c r="Y67" s="2"/>
      <c r="Z67" s="2"/>
      <c r="AA67" s="9"/>
      <c r="AB67" s="8"/>
      <c r="AC67" s="8"/>
      <c r="AD67" s="8"/>
      <c r="AE67" s="5"/>
    </row>
    <row r="68" spans="1:31" ht="15.9" customHeight="1">
      <c r="A68" s="156" t="s">
        <v>41</v>
      </c>
      <c r="B68" s="57"/>
      <c r="C68" s="57"/>
      <c r="D68" s="57"/>
      <c r="E68" s="197"/>
      <c r="F68" s="57"/>
      <c r="I68" s="2"/>
      <c r="J68" s="13"/>
      <c r="V68" s="2"/>
      <c r="W68" s="2"/>
      <c r="X68" s="2"/>
      <c r="Y68" s="2"/>
      <c r="Z68" s="2"/>
      <c r="AA68" s="2"/>
      <c r="AB68" s="5"/>
      <c r="AC68" s="5"/>
      <c r="AD68" s="5"/>
      <c r="AE68" s="5"/>
    </row>
    <row r="69" spans="1:31" ht="15.9" customHeight="1">
      <c r="A69" s="57"/>
      <c r="B69" s="57"/>
      <c r="C69" s="57"/>
      <c r="D69" s="57"/>
      <c r="E69" s="57"/>
      <c r="F69" s="57"/>
      <c r="G69" s="262"/>
      <c r="I69" s="2"/>
      <c r="J69" s="2"/>
    </row>
    <row r="70" spans="1:31" ht="15.9" customHeight="1">
      <c r="A70" s="157" t="s">
        <v>4</v>
      </c>
      <c r="B70" s="157"/>
      <c r="C70" s="157"/>
      <c r="D70" s="157"/>
      <c r="E70" s="207" t="s">
        <v>42</v>
      </c>
      <c r="F70" s="208">
        <f ca="1">TODAY()</f>
        <v>45127</v>
      </c>
      <c r="G70" s="262"/>
      <c r="I70" s="2"/>
      <c r="J70" s="2"/>
      <c r="AB70" s="5"/>
      <c r="AC70" s="5"/>
      <c r="AD70" s="5"/>
      <c r="AE70" s="5"/>
    </row>
    <row r="71" spans="1:31" ht="15.9" customHeight="1">
      <c r="A71" s="150" t="s">
        <v>3</v>
      </c>
      <c r="B71" s="150"/>
      <c r="C71" s="57"/>
      <c r="D71" s="150"/>
      <c r="E71" s="197"/>
      <c r="F71" s="209"/>
      <c r="G71" s="26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AB71" s="5"/>
      <c r="AC71" s="5"/>
      <c r="AD71" s="5"/>
      <c r="AE71" s="5"/>
    </row>
    <row r="72" spans="1:31" ht="15.9" customHeight="1">
      <c r="A72" s="6"/>
      <c r="B72" s="6"/>
      <c r="D72" s="6"/>
      <c r="AB72" s="5"/>
      <c r="AC72" s="5"/>
      <c r="AD72" s="5"/>
      <c r="AE72" s="5"/>
    </row>
    <row r="73" spans="1:31" ht="15.9" customHeight="1"/>
    <row r="74" spans="1:31" ht="15.9" customHeight="1"/>
    <row r="75" spans="1:31" ht="15.9" customHeight="1"/>
    <row r="76" spans="1:31" ht="15.9" hidden="1" customHeight="1">
      <c r="A76" s="4" t="s">
        <v>2</v>
      </c>
    </row>
    <row r="77" spans="1:31" ht="15.9" hidden="1" customHeight="1">
      <c r="A77" s="3" t="s">
        <v>1</v>
      </c>
    </row>
    <row r="78" spans="1:31" ht="15.9" hidden="1" customHeight="1">
      <c r="A78" s="3" t="s">
        <v>0</v>
      </c>
    </row>
    <row r="79" spans="1:31" ht="15.9" customHeight="1">
      <c r="C79" s="1" t="s">
        <v>82</v>
      </c>
    </row>
    <row r="80" spans="1:31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</sheetData>
  <sheetProtection algorithmName="SHA-512" hashValue="Xh8TCS9dHyobm7fGqRz7zaRNoOXVHkxlZc/2+7QiMMQjODWcAForUhUXlVzmhLiHFPU/+P0W+IWZ50bFZYla9g==" saltValue="vAnpwwWxzUWFoVzy86Pzgw==" spinCount="100000" sheet="1" formatColumns="0" formatRows="0"/>
  <mergeCells count="6">
    <mergeCell ref="A66:B66"/>
    <mergeCell ref="A9:F9"/>
    <mergeCell ref="A10:F10"/>
    <mergeCell ref="B12:D12"/>
    <mergeCell ref="A38:F38"/>
    <mergeCell ref="A59:F59"/>
  </mergeCells>
  <conditionalFormatting sqref="D37">
    <cfRule type="cellIs" dxfId="2" priority="2" operator="greaterThan">
      <formula>0.95</formula>
    </cfRule>
  </conditionalFormatting>
  <conditionalFormatting sqref="D58">
    <cfRule type="cellIs" dxfId="1" priority="1" operator="greaterThan">
      <formula>0.95</formula>
    </cfRule>
  </conditionalFormatting>
  <dataValidations count="3">
    <dataValidation type="list" allowBlank="1" showInputMessage="1" showErrorMessage="1" sqref="F42 B27:B35">
      <formula1>$A$77:$A$78</formula1>
    </dataValidation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16"/>
    <dataValidation allowBlank="1" showInputMessage="1" showErrorMessage="1" promptTitle="% of Full Time Appointment" prompt="Examples:  25%, 30%, 40% of FTE etc." sqref="D16"/>
  </dataValidations>
  <pageMargins left="0.6" right="0.5" top="0.5" bottom="0.4" header="0.3" footer="0.3"/>
  <pageSetup scale="71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"/>
  <sheetViews>
    <sheetView zoomScaleNormal="100" workbookViewId="0">
      <pane ySplit="14" topLeftCell="A15" activePane="bottomLeft" state="frozen"/>
      <selection pane="bottomLeft" activeCell="D13" sqref="D13"/>
    </sheetView>
  </sheetViews>
  <sheetFormatPr defaultColWidth="9.109375" defaultRowHeight="14.4"/>
  <cols>
    <col min="1" max="1" width="26.6640625" style="1" customWidth="1"/>
    <col min="2" max="2" width="10.6640625" style="1" customWidth="1"/>
    <col min="3" max="3" width="20" style="1" customWidth="1"/>
    <col min="4" max="4" width="10.6640625" style="1" customWidth="1"/>
    <col min="5" max="5" width="15.5546875" style="1" customWidth="1"/>
    <col min="6" max="6" width="14.10937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10" t="s">
        <v>34</v>
      </c>
      <c r="B1" s="211"/>
      <c r="C1" s="211"/>
      <c r="D1" s="211"/>
      <c r="E1" s="211"/>
      <c r="F1" s="212"/>
      <c r="G1" s="20"/>
      <c r="H1" s="118"/>
      <c r="I1" s="118"/>
      <c r="J1" s="118"/>
      <c r="K1" s="118"/>
      <c r="L1" s="118"/>
      <c r="M1" s="118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1" customFormat="1">
      <c r="A2" s="213" t="s">
        <v>76</v>
      </c>
      <c r="B2" s="211"/>
      <c r="C2" s="211"/>
      <c r="D2" s="211"/>
      <c r="E2" s="211"/>
      <c r="F2" s="212"/>
      <c r="G2" s="118"/>
      <c r="H2" s="118"/>
      <c r="I2" s="118"/>
      <c r="J2" s="118"/>
      <c r="K2" s="118"/>
      <c r="L2" s="118"/>
      <c r="M2" s="118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1" customFormat="1">
      <c r="A3" s="213" t="s">
        <v>62</v>
      </c>
      <c r="B3" s="211"/>
      <c r="C3" s="211"/>
      <c r="D3" s="211"/>
      <c r="E3" s="211"/>
      <c r="F3" s="212"/>
      <c r="G3" s="118"/>
      <c r="H3" s="118"/>
      <c r="I3" s="118"/>
      <c r="J3" s="118"/>
      <c r="K3" s="118"/>
      <c r="L3" s="118"/>
      <c r="M3" s="118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31" ht="18.600000000000001" customHeight="1">
      <c r="A4" s="288" t="s">
        <v>88</v>
      </c>
      <c r="B4" s="288"/>
      <c r="C4" s="288"/>
      <c r="D4" s="288"/>
      <c r="E4" s="288"/>
      <c r="F4" s="288"/>
      <c r="G4" s="7"/>
      <c r="J4" s="7"/>
      <c r="K4" s="7"/>
      <c r="L4" s="7"/>
      <c r="M4" s="7"/>
      <c r="N4" s="97"/>
      <c r="O4" s="97"/>
      <c r="P4" s="97"/>
      <c r="Q4" s="97"/>
      <c r="R4" s="97"/>
      <c r="S4" s="97"/>
      <c r="T4" s="97"/>
      <c r="U4" s="97"/>
      <c r="V4" s="91"/>
      <c r="W4" s="122"/>
      <c r="X4" s="122"/>
      <c r="Y4" s="122"/>
      <c r="Z4" s="91"/>
      <c r="AA4" s="94"/>
      <c r="AB4" s="10"/>
      <c r="AC4" s="9"/>
      <c r="AD4" s="2"/>
      <c r="AE4" s="2"/>
    </row>
    <row r="5" spans="1:31">
      <c r="A5" s="175" t="s">
        <v>35</v>
      </c>
      <c r="B5" s="214">
        <f>'P-T Over Cap'!B12:D12</f>
        <v>0</v>
      </c>
      <c r="C5" s="215"/>
      <c r="D5" s="173"/>
      <c r="E5" s="173"/>
      <c r="F5" s="173"/>
      <c r="G5" s="2"/>
      <c r="H5" s="2"/>
      <c r="I5" s="2"/>
      <c r="J5" s="2"/>
      <c r="K5" s="2"/>
      <c r="L5" s="2"/>
      <c r="M5" s="2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20"/>
      <c r="AC5" s="2"/>
      <c r="AD5" s="2"/>
      <c r="AE5" s="2"/>
    </row>
    <row r="6" spans="1:31">
      <c r="A6" s="173" t="str">
        <f>'P-T Over Cap'!A13</f>
        <v>Life No:</v>
      </c>
      <c r="B6" s="216">
        <f>'P-T Over Cap'!B13</f>
        <v>0</v>
      </c>
      <c r="C6" s="217"/>
      <c r="D6" s="173" t="str">
        <f>'P-T Over Cap'!D13</f>
        <v>PaaS Transaction No:</v>
      </c>
      <c r="E6" s="173"/>
      <c r="F6" s="218">
        <f>'P-T Over Cap'!E13</f>
        <v>0</v>
      </c>
      <c r="G6" s="68"/>
      <c r="H6" s="68"/>
      <c r="I6" s="68"/>
      <c r="J6" s="2"/>
      <c r="K6" s="2"/>
      <c r="L6" s="2"/>
      <c r="M6" s="2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  <c r="AB6" s="15"/>
      <c r="AC6" s="32"/>
      <c r="AD6" s="18"/>
      <c r="AE6" s="2"/>
    </row>
    <row r="7" spans="1:31">
      <c r="A7" s="158" t="s">
        <v>52</v>
      </c>
      <c r="B7" s="159">
        <f>'P-T Over Cap'!B16</f>
        <v>106500</v>
      </c>
      <c r="C7" s="160" t="s">
        <v>36</v>
      </c>
      <c r="D7" s="161">
        <f>'P-T Over Cap'!D16</f>
        <v>0.4</v>
      </c>
      <c r="E7" s="162"/>
      <c r="F7" s="98">
        <f>B7/D7</f>
        <v>266250</v>
      </c>
      <c r="G7" s="119"/>
      <c r="H7" s="2"/>
      <c r="I7" s="2"/>
      <c r="J7" s="2"/>
      <c r="K7" s="2"/>
      <c r="L7" s="2"/>
      <c r="M7" s="2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15"/>
      <c r="AC7" s="32"/>
      <c r="AD7" s="18"/>
      <c r="AE7" s="2"/>
    </row>
    <row r="8" spans="1:31">
      <c r="A8" s="50"/>
      <c r="B8" s="171"/>
      <c r="C8" s="57"/>
      <c r="D8" s="172"/>
      <c r="E8" s="39"/>
      <c r="F8" s="172" t="s">
        <v>40</v>
      </c>
      <c r="G8" s="2"/>
      <c r="H8" s="2"/>
      <c r="I8" s="2"/>
      <c r="J8" s="2"/>
      <c r="K8" s="2"/>
      <c r="L8" s="2"/>
      <c r="M8" s="2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2"/>
      <c r="AB8" s="15"/>
      <c r="AC8" s="32"/>
      <c r="AD8" s="18"/>
      <c r="AE8" s="2"/>
    </row>
    <row r="9" spans="1:31" ht="6.75" customHeight="1">
      <c r="A9" s="128"/>
      <c r="B9" s="128"/>
      <c r="C9" s="57"/>
      <c r="D9" s="57"/>
      <c r="E9" s="39"/>
      <c r="F9" s="57"/>
      <c r="G9" s="2"/>
      <c r="H9" s="2"/>
      <c r="I9" s="2"/>
      <c r="J9" s="2"/>
      <c r="K9" s="2"/>
      <c r="L9" s="2"/>
      <c r="M9" s="2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2"/>
      <c r="AB9" s="15"/>
      <c r="AC9" s="32"/>
      <c r="AD9" s="18"/>
      <c r="AE9" s="2"/>
    </row>
    <row r="10" spans="1:31">
      <c r="A10" s="166" t="s">
        <v>29</v>
      </c>
      <c r="B10" s="167">
        <f>'P-T Over Cap'!B19</f>
        <v>212100</v>
      </c>
      <c r="C10" s="168"/>
      <c r="D10" s="169">
        <f>'P-T Over Cap'!D19</f>
        <v>0.4</v>
      </c>
      <c r="E10" s="162"/>
      <c r="F10" s="62">
        <f>B10*D10</f>
        <v>84840</v>
      </c>
      <c r="G10" s="2"/>
      <c r="H10" s="2"/>
      <c r="I10" s="2"/>
      <c r="J10" s="2"/>
      <c r="K10" s="2"/>
      <c r="L10" s="2"/>
      <c r="M10" s="2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2"/>
      <c r="AB10" s="15"/>
      <c r="AC10" s="32"/>
      <c r="AD10" s="18"/>
      <c r="AE10" s="2"/>
    </row>
    <row r="11" spans="1:31">
      <c r="A11" s="3"/>
      <c r="B11" s="173"/>
      <c r="C11" s="57"/>
      <c r="D11" s="57"/>
      <c r="E11" s="57"/>
      <c r="F11" s="160" t="s">
        <v>53</v>
      </c>
      <c r="G11" s="2"/>
      <c r="H11" s="2"/>
      <c r="I11" s="2"/>
      <c r="J11" s="2"/>
      <c r="K11" s="2"/>
      <c r="L11" s="2"/>
      <c r="M11" s="2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2"/>
      <c r="AB11" s="15"/>
      <c r="AC11" s="32"/>
      <c r="AD11" s="18"/>
      <c r="AE11" s="2"/>
    </row>
    <row r="12" spans="1:31" ht="6" customHeight="1">
      <c r="A12" s="50"/>
      <c r="B12" s="171"/>
      <c r="C12" s="57"/>
      <c r="D12" s="174"/>
      <c r="E12" s="174"/>
      <c r="F12" s="174"/>
      <c r="G12" s="68"/>
      <c r="H12" s="68"/>
      <c r="I12" s="68"/>
      <c r="J12" s="2"/>
      <c r="K12" s="2"/>
      <c r="L12" s="2"/>
      <c r="M12" s="2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2"/>
      <c r="AB12" s="15"/>
      <c r="AC12" s="32"/>
      <c r="AD12" s="18"/>
      <c r="AE12" s="2"/>
    </row>
    <row r="13" spans="1:31" ht="22.95" customHeight="1">
      <c r="A13" s="57"/>
      <c r="B13" s="128"/>
      <c r="C13" s="57"/>
      <c r="D13" s="57"/>
      <c r="E13" s="199" t="s">
        <v>27</v>
      </c>
      <c r="F13" s="57">
        <f>D10*12</f>
        <v>4.8000000000000007</v>
      </c>
      <c r="G13" s="7"/>
      <c r="H13" s="2"/>
      <c r="I13" s="7"/>
      <c r="J13" s="7"/>
      <c r="K13" s="7"/>
      <c r="L13" s="7"/>
      <c r="M13" s="7"/>
      <c r="N13" s="97"/>
      <c r="O13" s="97"/>
      <c r="P13" s="97"/>
      <c r="Q13" s="97"/>
      <c r="R13" s="97"/>
      <c r="S13" s="97"/>
      <c r="T13" s="97"/>
      <c r="U13" s="97"/>
      <c r="V13" s="91"/>
      <c r="W13" s="122"/>
      <c r="X13" s="122"/>
      <c r="Y13" s="122"/>
      <c r="Z13" s="91"/>
      <c r="AA13" s="94"/>
      <c r="AB13" s="10"/>
      <c r="AC13" s="9"/>
      <c r="AD13" s="2"/>
      <c r="AE13" s="2"/>
    </row>
    <row r="14" spans="1:31">
      <c r="A14" s="128" t="s">
        <v>11</v>
      </c>
      <c r="B14" s="128" t="s">
        <v>46</v>
      </c>
      <c r="C14" s="129" t="s">
        <v>47</v>
      </c>
      <c r="D14" s="130" t="s">
        <v>10</v>
      </c>
      <c r="E14" s="131" t="str">
        <f>IF($F$31="Yes", "Sal Req/Charged", "Sal Req")</f>
        <v>Sal Req</v>
      </c>
      <c r="F14" s="132" t="str">
        <f>IF('P-T Over Cap'!$F$42="Yes", "% Effort for PaaS", " ")</f>
        <v>% Effort for PaaS</v>
      </c>
      <c r="G14" s="2"/>
      <c r="H14" s="9"/>
      <c r="I14" s="9"/>
      <c r="J14" s="9"/>
      <c r="K14" s="9"/>
      <c r="L14" s="9"/>
      <c r="M14" s="9"/>
      <c r="N14" s="94"/>
      <c r="O14" s="94"/>
      <c r="P14" s="94"/>
      <c r="Q14" s="94"/>
      <c r="R14" s="94"/>
      <c r="S14" s="94"/>
      <c r="T14" s="94"/>
      <c r="U14" s="91"/>
      <c r="V14" s="122"/>
      <c r="W14" s="123"/>
      <c r="X14" s="91"/>
      <c r="Y14" s="124"/>
      <c r="Z14" s="91"/>
      <c r="AA14" s="94"/>
      <c r="AB14" s="10"/>
      <c r="AC14" s="9"/>
      <c r="AD14" s="2"/>
      <c r="AE14" s="2"/>
    </row>
    <row r="15" spans="1:31" ht="15.9" customHeight="1">
      <c r="A15" s="237" t="str">
        <f>IF($F$46="Yes",  'P-T Over Cap'!A27, 0)</f>
        <v>02661111 / IN300001080</v>
      </c>
      <c r="B15" s="238" t="str">
        <f>IF($F$46="Yes",  'P-T Over Cap'!B27, 0)</f>
        <v>No</v>
      </c>
      <c r="C15" s="238">
        <f>IF($F$46="Yes",  'P-T Over Cap'!C27, 0)</f>
        <v>0.44</v>
      </c>
      <c r="D15" s="239">
        <f>IF($F$46="Yes",  'P-T Over Cap'!D27, 0)</f>
        <v>9.166666666666666E-2</v>
      </c>
      <c r="E15" s="242">
        <f>IF($F$46="Yes",  'P-T Over Cap'!E27, 0)</f>
        <v>9762.5</v>
      </c>
      <c r="F15" s="243">
        <f>IF($F$46="Yes",'P-T Over Cap'!F27,0)</f>
        <v>9.166666666666666E-2</v>
      </c>
      <c r="G15" s="2"/>
      <c r="H15" s="9"/>
      <c r="I15" s="9"/>
      <c r="J15" s="9"/>
      <c r="K15" s="9"/>
      <c r="L15" s="9"/>
      <c r="M15" s="32"/>
      <c r="N15" s="125"/>
      <c r="O15" s="125"/>
      <c r="P15" s="125"/>
      <c r="Q15" s="125"/>
      <c r="R15" s="125"/>
      <c r="S15" s="125"/>
      <c r="T15" s="125"/>
      <c r="U15" s="91"/>
      <c r="V15" s="126"/>
      <c r="W15" s="125"/>
      <c r="X15" s="96"/>
      <c r="Y15" s="126"/>
      <c r="Z15" s="91"/>
      <c r="AA15" s="94"/>
      <c r="AB15" s="10"/>
      <c r="AC15" s="32"/>
      <c r="AD15" s="2"/>
      <c r="AE15" s="2"/>
    </row>
    <row r="16" spans="1:31" ht="15.9" customHeight="1">
      <c r="A16" s="237" t="str">
        <f>IF($F$46="Yes",  'P-T Over Cap'!A28, 0)</f>
        <v>02662051 / IN300001095</v>
      </c>
      <c r="B16" s="238" t="str">
        <f>IF($F$46="Yes",  'P-T Over Cap'!B28, 0)</f>
        <v>No</v>
      </c>
      <c r="C16" s="238">
        <f>IF($F$46="Yes",  'P-T Over Cap'!C28, 0)</f>
        <v>0.12</v>
      </c>
      <c r="D16" s="239">
        <f>IF($F$46="Yes",  'P-T Over Cap'!D28, 0)</f>
        <v>2.4999999999999994E-2</v>
      </c>
      <c r="E16" s="242">
        <f>IF($F$46="Yes",  'P-T Over Cap'!E28, 0)</f>
        <v>2662.4999999999995</v>
      </c>
      <c r="F16" s="243">
        <f>IF($F$46="Yes",'P-T Over Cap'!F28,0)</f>
        <v>2.4999999999999994E-2</v>
      </c>
      <c r="G16" s="2"/>
      <c r="H16" s="2"/>
      <c r="I16" s="36"/>
      <c r="J16" s="13"/>
      <c r="K16" s="2"/>
      <c r="L16" s="10"/>
      <c r="M16" s="10"/>
      <c r="N16" s="92"/>
      <c r="O16" s="125"/>
      <c r="P16" s="125"/>
      <c r="Q16" s="125"/>
      <c r="R16" s="125"/>
      <c r="S16" s="125"/>
      <c r="T16" s="125"/>
      <c r="U16" s="91"/>
      <c r="V16" s="126"/>
      <c r="W16" s="125"/>
      <c r="X16" s="96"/>
      <c r="Y16" s="126"/>
      <c r="Z16" s="91"/>
      <c r="AA16" s="94"/>
      <c r="AB16" s="10"/>
      <c r="AC16" s="32"/>
      <c r="AD16" s="2"/>
      <c r="AE16" s="2"/>
    </row>
    <row r="17" spans="1:31" ht="15.9" customHeight="1">
      <c r="A17" s="237" t="str">
        <f>IF($F$46="Yes",  'P-T Over Cap'!A29, 0)</f>
        <v>02662236 / IN300001405</v>
      </c>
      <c r="B17" s="238" t="str">
        <f>IF($F$46="Yes",  'P-T Over Cap'!B29, 0)</f>
        <v>No</v>
      </c>
      <c r="C17" s="238">
        <f>IF($F$46="Yes",  'P-T Over Cap'!C29, 0)</f>
        <v>0.91</v>
      </c>
      <c r="D17" s="239">
        <f>IF($F$46="Yes",  'P-T Over Cap'!D29, 0)</f>
        <v>0.1895833333333333</v>
      </c>
      <c r="E17" s="242">
        <f>IF($F$46="Yes",  'P-T Over Cap'!E29, 0)</f>
        <v>20190.624999999996</v>
      </c>
      <c r="F17" s="243">
        <f>IF($F$46="Yes",'P-T Over Cap'!F29,0)</f>
        <v>0.1895833333333333</v>
      </c>
      <c r="G17" s="9"/>
      <c r="H17" s="19"/>
      <c r="I17" s="36"/>
      <c r="J17" s="13"/>
      <c r="K17" s="59"/>
      <c r="L17" s="59"/>
      <c r="M17" s="10"/>
      <c r="N17" s="92"/>
      <c r="O17" s="125"/>
      <c r="P17" s="125"/>
      <c r="Q17" s="125"/>
      <c r="R17" s="125"/>
      <c r="S17" s="125"/>
      <c r="T17" s="125"/>
      <c r="U17" s="91"/>
      <c r="V17" s="126"/>
      <c r="W17" s="125"/>
      <c r="X17" s="96"/>
      <c r="Y17" s="126"/>
      <c r="Z17" s="91"/>
      <c r="AA17" s="94"/>
      <c r="AB17" s="2"/>
      <c r="AC17" s="32"/>
      <c r="AD17" s="2"/>
      <c r="AE17" s="2"/>
    </row>
    <row r="18" spans="1:31" ht="15.9" customHeight="1">
      <c r="A18" s="237" t="str">
        <f>IF($F$46="Yes",  'P-T Over Cap'!A30, 0)</f>
        <v>0255A613 / IF300001394</v>
      </c>
      <c r="B18" s="238" t="str">
        <f>IF($F$46="Yes",  'P-T Over Cap'!B30, 0)</f>
        <v>Yes</v>
      </c>
      <c r="C18" s="238">
        <f>IF($F$46="Yes",  'P-T Over Cap'!C30, 0)</f>
        <v>0.14000000000000001</v>
      </c>
      <c r="D18" s="239">
        <f>IF($F$46="Yes",  'P-T Over Cap'!D30, 0)</f>
        <v>2.9166666666666664E-2</v>
      </c>
      <c r="E18" s="242">
        <f>IF($F$46="Yes",  'P-T Over Cap'!E30, 0)</f>
        <v>2474.4999999999995</v>
      </c>
      <c r="F18" s="243">
        <f>IF($F$46="Yes",'P-T Over Cap'!F30,0)</f>
        <v>2.3234741784037553E-2</v>
      </c>
      <c r="G18" s="9"/>
      <c r="H18" s="19"/>
      <c r="I18" s="36"/>
      <c r="J18" s="13"/>
      <c r="K18" s="59"/>
      <c r="L18" s="59"/>
      <c r="M18" s="10"/>
      <c r="N18" s="92"/>
      <c r="O18" s="125"/>
      <c r="P18" s="125"/>
      <c r="Q18" s="125"/>
      <c r="R18" s="125"/>
      <c r="S18" s="125"/>
      <c r="T18" s="125"/>
      <c r="U18" s="91"/>
      <c r="V18" s="127"/>
      <c r="W18" s="125"/>
      <c r="X18" s="96"/>
      <c r="Y18" s="126"/>
      <c r="Z18" s="91"/>
      <c r="AA18" s="94"/>
      <c r="AB18" s="2"/>
      <c r="AC18" s="41"/>
      <c r="AD18" s="2"/>
      <c r="AE18" s="2"/>
    </row>
    <row r="19" spans="1:31" ht="15.9" customHeight="1">
      <c r="A19" s="237" t="str">
        <f>IF($F$46="Yes",  'P-T Over Cap'!A31, 0)</f>
        <v>0255B531 / IF300001412</v>
      </c>
      <c r="B19" s="238" t="str">
        <f>IF($F$46="Yes",  'P-T Over Cap'!B31, 0)</f>
        <v>Yes</v>
      </c>
      <c r="C19" s="238">
        <f>IF($F$46="Yes",  'P-T Over Cap'!C31, 0)</f>
        <v>0.6</v>
      </c>
      <c r="D19" s="239">
        <f>IF($F$46="Yes",  'P-T Over Cap'!D31, 0)</f>
        <v>0.12499999999999997</v>
      </c>
      <c r="E19" s="242">
        <f>IF($F$46="Yes",  'P-T Over Cap'!E31, 0)</f>
        <v>10604.999999999998</v>
      </c>
      <c r="F19" s="243">
        <f>IF($F$46="Yes",'P-T Over Cap'!F31,0)</f>
        <v>9.9577464788732376E-2</v>
      </c>
      <c r="G19" s="2"/>
      <c r="H19" s="19"/>
      <c r="I19" s="36"/>
      <c r="J19" s="13"/>
      <c r="K19" s="59"/>
      <c r="L19" s="2"/>
      <c r="M19" s="10"/>
      <c r="N19" s="92"/>
      <c r="O19" s="125"/>
      <c r="P19" s="125"/>
      <c r="Q19" s="125"/>
      <c r="R19" s="125"/>
      <c r="S19" s="125"/>
      <c r="T19" s="125"/>
      <c r="U19" s="91"/>
      <c r="V19" s="126"/>
      <c r="W19" s="125"/>
      <c r="X19" s="96"/>
      <c r="Y19" s="126"/>
      <c r="Z19" s="91"/>
      <c r="AA19" s="94"/>
      <c r="AB19" s="2"/>
      <c r="AC19" s="2"/>
      <c r="AD19" s="2"/>
      <c r="AE19" s="2"/>
    </row>
    <row r="20" spans="1:31" ht="15.9" customHeight="1">
      <c r="A20" s="237" t="str">
        <f>IF($F$46="Yes",  'P-T Over Cap'!A32, 0)</f>
        <v>0259A631 / IF300001291</v>
      </c>
      <c r="B20" s="238" t="str">
        <f>IF($F$46="Yes",  'P-T Over Cap'!B32, 0)</f>
        <v>Yes</v>
      </c>
      <c r="C20" s="238">
        <f>IF($F$46="Yes",  'P-T Over Cap'!C32, 0)</f>
        <v>0.4</v>
      </c>
      <c r="D20" s="239">
        <f>IF($F$46="Yes",  'P-T Over Cap'!D32, 0)</f>
        <v>8.3333333333333329E-2</v>
      </c>
      <c r="E20" s="242">
        <f>IF($F$46="Yes",  'P-T Over Cap'!E32, 0)</f>
        <v>7070</v>
      </c>
      <c r="F20" s="243">
        <f>IF($F$46="Yes",'P-T Over Cap'!F32,0)</f>
        <v>6.6384976525821593E-2</v>
      </c>
      <c r="G20" s="19"/>
      <c r="H20" s="19"/>
      <c r="I20" s="36"/>
      <c r="J20" s="13"/>
      <c r="K20" s="59"/>
      <c r="L20" s="2"/>
      <c r="M20" s="10"/>
      <c r="N20" s="91"/>
      <c r="O20" s="125"/>
      <c r="P20" s="125"/>
      <c r="Q20" s="125"/>
      <c r="R20" s="125"/>
      <c r="S20" s="125"/>
      <c r="T20" s="125"/>
      <c r="U20" s="91"/>
      <c r="V20" s="126"/>
      <c r="W20" s="125"/>
      <c r="X20" s="96"/>
      <c r="Y20" s="126"/>
      <c r="Z20" s="91"/>
      <c r="AA20" s="94"/>
      <c r="AB20" s="2"/>
      <c r="AC20" s="2"/>
      <c r="AD20" s="2"/>
      <c r="AE20" s="2"/>
    </row>
    <row r="21" spans="1:31" ht="15.9" customHeight="1">
      <c r="A21" s="237" t="str">
        <f>IF($F$46="Yes",  'P-T Over Cap'!A33, 0)</f>
        <v>0255C391 / IF300001338</v>
      </c>
      <c r="B21" s="238" t="str">
        <f>IF($F$46="Yes",  'P-T Over Cap'!B33, 0)</f>
        <v>Yes</v>
      </c>
      <c r="C21" s="238">
        <f>IF($F$46="Yes",  'P-T Over Cap'!C33, 0)</f>
        <v>0.46</v>
      </c>
      <c r="D21" s="239">
        <f>IF($F$46="Yes",  'P-T Over Cap'!D33, 0)</f>
        <v>9.5833333333333326E-2</v>
      </c>
      <c r="E21" s="242">
        <f>IF($F$46="Yes",  'P-T Over Cap'!E33, 0)</f>
        <v>8130.4999999999991</v>
      </c>
      <c r="F21" s="243">
        <f>IF($F$46="Yes",'P-T Over Cap'!F33,0)</f>
        <v>7.6342723004694829E-2</v>
      </c>
      <c r="G21" s="19"/>
      <c r="H21" s="19"/>
      <c r="I21" s="36"/>
      <c r="J21" s="13"/>
      <c r="K21" s="12"/>
      <c r="L21" s="32"/>
      <c r="M21" s="32"/>
      <c r="N21" s="125"/>
      <c r="O21" s="125"/>
      <c r="P21" s="125"/>
      <c r="Q21" s="125"/>
      <c r="R21" s="125"/>
      <c r="S21" s="125"/>
      <c r="T21" s="125"/>
      <c r="U21" s="91"/>
      <c r="V21" s="126"/>
      <c r="W21" s="125"/>
      <c r="X21" s="96"/>
      <c r="Y21" s="126"/>
      <c r="Z21" s="91"/>
      <c r="AA21" s="94"/>
      <c r="AB21" s="2"/>
      <c r="AC21" s="2"/>
      <c r="AD21" s="2"/>
      <c r="AE21" s="2"/>
    </row>
    <row r="22" spans="1:31" ht="15.9" customHeight="1">
      <c r="A22" s="237" t="str">
        <f>IF($F$46="Yes",  'P-T Over Cap'!A34, 0)</f>
        <v>0255D361 / IF134001480</v>
      </c>
      <c r="B22" s="238" t="str">
        <f>IF($F$46="Yes",  'P-T Over Cap'!B34, 0)</f>
        <v>Yes</v>
      </c>
      <c r="C22" s="238">
        <f>IF($F$46="Yes",  'P-T Over Cap'!C34, 0)</f>
        <v>0.91</v>
      </c>
      <c r="D22" s="239">
        <f>IF($F$46="Yes",  'P-T Over Cap'!D34, 0)</f>
        <v>0.1895833333333333</v>
      </c>
      <c r="E22" s="242">
        <f>IF($F$46="Yes",  'P-T Over Cap'!E34, 0)</f>
        <v>16084.249999999996</v>
      </c>
      <c r="F22" s="243">
        <f>IF($F$46="Yes",'P-T Over Cap'!F34,0)</f>
        <v>0.15102582159624409</v>
      </c>
      <c r="G22" s="2"/>
      <c r="H22" s="19"/>
      <c r="I22" s="36"/>
      <c r="J22" s="13"/>
      <c r="K22" s="12"/>
      <c r="L22" s="32"/>
      <c r="M22" s="32"/>
      <c r="N22" s="125"/>
      <c r="O22" s="125"/>
      <c r="P22" s="125"/>
      <c r="Q22" s="125"/>
      <c r="R22" s="125"/>
      <c r="S22" s="125"/>
      <c r="T22" s="125"/>
      <c r="U22" s="91"/>
      <c r="V22" s="126"/>
      <c r="W22" s="125"/>
      <c r="X22" s="96"/>
      <c r="Y22" s="126"/>
      <c r="Z22" s="91"/>
      <c r="AA22" s="94"/>
      <c r="AB22" s="2"/>
      <c r="AC22" s="2"/>
      <c r="AD22" s="2"/>
      <c r="AE22" s="2"/>
    </row>
    <row r="23" spans="1:31" ht="15.9" customHeight="1">
      <c r="A23" s="237" t="str">
        <f>IF($F$46="Yes",  'P-T Over Cap'!A35, 0)</f>
        <v>0255E271 / IF300001415</v>
      </c>
      <c r="B23" s="238" t="str">
        <f>IF($F$46="Yes",  'P-T Over Cap'!B35, 0)</f>
        <v>Yes</v>
      </c>
      <c r="C23" s="240">
        <f>IF($F$46="Yes",  'P-T Over Cap'!C35, 0)</f>
        <v>0.57999999999999996</v>
      </c>
      <c r="D23" s="241">
        <f>IF($F$46="Yes",  'P-T Over Cap'!D35, 0)</f>
        <v>0.12083333333333331</v>
      </c>
      <c r="E23" s="273">
        <f>IF($F$46="Yes",  'P-T Over Cap'!E35, 0)</f>
        <v>10251.499999999998</v>
      </c>
      <c r="F23" s="244">
        <f>IF($F$46="Yes",'P-T Over Cap'!F35,0)</f>
        <v>9.6258215962441301E-2</v>
      </c>
      <c r="G23" s="38"/>
      <c r="H23" s="19"/>
      <c r="I23" s="36"/>
      <c r="J23" s="13"/>
      <c r="K23" s="12"/>
      <c r="L23" s="32"/>
      <c r="M23" s="32"/>
      <c r="N23" s="125"/>
      <c r="O23" s="125"/>
      <c r="P23" s="125"/>
      <c r="Q23" s="125"/>
      <c r="R23" s="125"/>
      <c r="S23" s="125"/>
      <c r="T23" s="125"/>
      <c r="U23" s="91"/>
      <c r="V23" s="126"/>
      <c r="W23" s="125"/>
      <c r="X23" s="96"/>
      <c r="Y23" s="126"/>
      <c r="Z23" s="91"/>
      <c r="AA23" s="94"/>
      <c r="AB23" s="2"/>
      <c r="AC23" s="2"/>
      <c r="AD23" s="2"/>
      <c r="AE23" s="2"/>
    </row>
    <row r="24" spans="1:31" ht="15.9" customHeight="1">
      <c r="A24" s="134" t="s">
        <v>58</v>
      </c>
      <c r="B24" s="133"/>
      <c r="C24" s="135">
        <f>SUM(C15:C23)</f>
        <v>4.5600000000000005</v>
      </c>
      <c r="D24" s="136">
        <f t="shared" ref="D24:E24" si="0">SUM(D15:D23)</f>
        <v>0.95</v>
      </c>
      <c r="E24" s="137">
        <f t="shared" si="0"/>
        <v>87231.374999999985</v>
      </c>
      <c r="F24" s="138">
        <f>SUM(F15:F23)</f>
        <v>0.81907394366197173</v>
      </c>
      <c r="G24" s="19"/>
      <c r="H24" s="19"/>
      <c r="I24" s="36"/>
      <c r="J24" s="13"/>
      <c r="K24" s="12"/>
      <c r="L24" s="32"/>
      <c r="M24" s="32"/>
      <c r="N24" s="125"/>
      <c r="O24" s="125"/>
      <c r="P24" s="125"/>
      <c r="Q24" s="125"/>
      <c r="R24" s="125"/>
      <c r="S24" s="125"/>
      <c r="T24" s="125"/>
      <c r="U24" s="91"/>
      <c r="V24" s="126"/>
      <c r="W24" s="125"/>
      <c r="X24" s="96"/>
      <c r="Y24" s="126"/>
      <c r="Z24" s="91"/>
      <c r="AA24" s="94"/>
      <c r="AB24" s="2"/>
      <c r="AC24" s="2"/>
      <c r="AD24" s="2"/>
      <c r="AE24" s="2"/>
    </row>
    <row r="25" spans="1:31" ht="15.9" customHeight="1" thickBot="1">
      <c r="A25" s="219" t="s">
        <v>60</v>
      </c>
      <c r="B25" s="220"/>
      <c r="C25" s="221"/>
      <c r="D25" s="222"/>
      <c r="E25" s="223"/>
      <c r="F25" s="224"/>
      <c r="G25" s="19"/>
      <c r="H25" s="19"/>
      <c r="I25" s="36"/>
      <c r="J25" s="13"/>
      <c r="K25" s="12"/>
      <c r="L25" s="32"/>
      <c r="M25" s="32"/>
      <c r="N25" s="125"/>
      <c r="O25" s="125"/>
      <c r="P25" s="125"/>
      <c r="Q25" s="125"/>
      <c r="R25" s="125"/>
      <c r="S25" s="125"/>
      <c r="T25" s="125"/>
      <c r="U25" s="91"/>
      <c r="V25" s="126"/>
      <c r="W25" s="125"/>
      <c r="X25" s="96"/>
      <c r="Y25" s="126"/>
      <c r="Z25" s="91"/>
      <c r="AA25" s="94"/>
      <c r="AB25" s="2"/>
      <c r="AC25" s="2"/>
      <c r="AD25" s="2"/>
      <c r="AE25" s="2"/>
    </row>
    <row r="26" spans="1:31">
      <c r="A26" s="37" t="s">
        <v>26</v>
      </c>
      <c r="B26" s="274" t="s">
        <v>0</v>
      </c>
      <c r="C26" s="40">
        <v>0</v>
      </c>
      <c r="D26" s="278">
        <f>IF(C26="-", "-",C26/$F$13)</f>
        <v>0</v>
      </c>
      <c r="E26" s="277">
        <f>IF(C26="-","-",IF(B26="Yes",$F$10*D26,$B$7*D26))</f>
        <v>0</v>
      </c>
      <c r="F26" s="275">
        <f>IF(C26="-","-",IF('P-T Over Cap'!$F$42="Yes",E26/$B$7,"-"))</f>
        <v>0</v>
      </c>
      <c r="G26" s="2"/>
      <c r="H26" s="34"/>
      <c r="I26" s="33"/>
      <c r="J26" s="13"/>
      <c r="K26" s="12"/>
      <c r="L26" s="32"/>
      <c r="M26" s="32"/>
      <c r="N26" s="125"/>
      <c r="O26" s="125"/>
      <c r="P26" s="125"/>
      <c r="Q26" s="125"/>
      <c r="R26" s="125"/>
      <c r="S26" s="125"/>
      <c r="T26" s="125"/>
      <c r="U26" s="91"/>
      <c r="V26" s="94"/>
      <c r="W26" s="125"/>
      <c r="X26" s="94"/>
      <c r="Y26" s="94"/>
      <c r="Z26" s="91"/>
      <c r="AA26" s="94"/>
      <c r="AB26" s="2"/>
      <c r="AC26" s="2"/>
      <c r="AD26" s="2"/>
      <c r="AE26" s="2"/>
    </row>
    <row r="27" spans="1:31" ht="15.9" customHeight="1">
      <c r="A27" s="37" t="s">
        <v>25</v>
      </c>
      <c r="B27" s="274" t="s">
        <v>0</v>
      </c>
      <c r="C27" s="40">
        <v>0</v>
      </c>
      <c r="D27" s="278">
        <f t="shared" ref="D27:D36" si="1">IF(C27="-", "-",C27/$F$13)</f>
        <v>0</v>
      </c>
      <c r="E27" s="277">
        <f t="shared" ref="E27:E36" si="2">IF(C27="-","-",IF(B27="Yes",$F$10*D27,$B$7*D27))</f>
        <v>0</v>
      </c>
      <c r="F27" s="275">
        <f>IF(C27="-","-",IF('P-T Over Cap'!$F$42="Yes",E27/$B$7,"-"))</f>
        <v>0</v>
      </c>
      <c r="G27" s="2"/>
      <c r="H27" s="34"/>
      <c r="I27" s="33"/>
      <c r="J27" s="13"/>
      <c r="K27" s="12"/>
      <c r="L27" s="32"/>
      <c r="M27" s="32"/>
      <c r="N27" s="125"/>
      <c r="O27" s="125"/>
      <c r="P27" s="125"/>
      <c r="Q27" s="125"/>
      <c r="R27" s="125"/>
      <c r="S27" s="125"/>
      <c r="T27" s="125"/>
      <c r="U27" s="91"/>
      <c r="V27" s="94"/>
      <c r="W27" s="125"/>
      <c r="X27" s="94"/>
      <c r="Y27" s="94"/>
      <c r="Z27" s="91"/>
      <c r="AA27" s="94"/>
      <c r="AB27" s="2"/>
      <c r="AC27" s="2"/>
      <c r="AD27" s="2"/>
      <c r="AE27" s="2"/>
    </row>
    <row r="28" spans="1:31">
      <c r="A28" s="37" t="s">
        <v>24</v>
      </c>
      <c r="B28" s="274" t="s">
        <v>0</v>
      </c>
      <c r="C28" s="40">
        <v>0</v>
      </c>
      <c r="D28" s="278">
        <f t="shared" si="1"/>
        <v>0</v>
      </c>
      <c r="E28" s="277">
        <f t="shared" si="2"/>
        <v>0</v>
      </c>
      <c r="F28" s="275">
        <f>IF(C28="-","-",IF('P-T Over Cap'!$F$42="Yes",E28/$B$7,"-"))</f>
        <v>0</v>
      </c>
      <c r="G28" s="19"/>
      <c r="H28" s="10"/>
      <c r="I28" s="10"/>
      <c r="J28" s="13"/>
      <c r="K28" s="12"/>
      <c r="L28" s="10"/>
      <c r="M28" s="10"/>
      <c r="N28" s="93"/>
      <c r="O28" s="93"/>
      <c r="P28" s="93"/>
      <c r="Q28" s="93"/>
      <c r="R28" s="93"/>
      <c r="S28" s="93"/>
      <c r="T28" s="93"/>
      <c r="U28" s="93"/>
      <c r="V28" s="91"/>
      <c r="W28" s="91"/>
      <c r="X28" s="94"/>
      <c r="Y28" s="91"/>
      <c r="Z28" s="91"/>
      <c r="AA28" s="94"/>
      <c r="AB28" s="8"/>
      <c r="AC28" s="8"/>
      <c r="AD28" s="8"/>
      <c r="AE28" s="5"/>
    </row>
    <row r="29" spans="1:31" ht="15.9" customHeight="1">
      <c r="A29" s="37" t="s">
        <v>22</v>
      </c>
      <c r="B29" s="274" t="s">
        <v>1</v>
      </c>
      <c r="C29" s="40">
        <v>0</v>
      </c>
      <c r="D29" s="278">
        <f t="shared" si="1"/>
        <v>0</v>
      </c>
      <c r="E29" s="277">
        <f t="shared" si="2"/>
        <v>0</v>
      </c>
      <c r="F29" s="275">
        <f>IF(C29="-","-",IF('P-T Over Cap'!$F$42="Yes",E29/$B$7,"-"))</f>
        <v>0</v>
      </c>
      <c r="G29" s="10"/>
      <c r="H29" s="10"/>
      <c r="I29" s="120"/>
      <c r="J29" s="13"/>
      <c r="K29" s="12"/>
      <c r="L29" s="10"/>
      <c r="M29" s="10"/>
      <c r="N29" s="93"/>
      <c r="O29" s="93"/>
      <c r="P29" s="93"/>
      <c r="Q29" s="93"/>
      <c r="R29" s="93"/>
      <c r="S29" s="93"/>
      <c r="T29" s="93"/>
      <c r="U29" s="93"/>
      <c r="V29" s="91"/>
      <c r="W29" s="91"/>
      <c r="X29" s="94"/>
      <c r="Y29" s="91"/>
      <c r="Z29" s="91"/>
      <c r="AA29" s="94"/>
      <c r="AB29" s="8"/>
      <c r="AC29" s="8"/>
      <c r="AD29" s="8"/>
      <c r="AE29" s="5"/>
    </row>
    <row r="30" spans="1:31" s="91" customFormat="1">
      <c r="A30" s="37" t="s">
        <v>20</v>
      </c>
      <c r="B30" s="274" t="s">
        <v>1</v>
      </c>
      <c r="C30" s="40">
        <v>0</v>
      </c>
      <c r="D30" s="278">
        <f t="shared" si="1"/>
        <v>0</v>
      </c>
      <c r="E30" s="277">
        <f t="shared" si="2"/>
        <v>0</v>
      </c>
      <c r="F30" s="275">
        <f>IF(C30="-","-",IF('P-T Over Cap'!$F$42="Yes",E30/$B$7,"-"))</f>
        <v>0</v>
      </c>
      <c r="G30" s="10"/>
      <c r="H30" s="20"/>
      <c r="I30" s="10"/>
      <c r="J30" s="13"/>
      <c r="K30" s="12"/>
      <c r="L30" s="10"/>
      <c r="M30" s="10"/>
      <c r="N30" s="93"/>
      <c r="O30" s="93"/>
      <c r="P30" s="93"/>
      <c r="Q30" s="93"/>
      <c r="R30" s="93"/>
      <c r="S30" s="93"/>
      <c r="T30" s="93"/>
      <c r="U30" s="93"/>
      <c r="AA30" s="94"/>
      <c r="AB30" s="95"/>
      <c r="AC30" s="95"/>
      <c r="AD30" s="95"/>
      <c r="AE30" s="95"/>
    </row>
    <row r="31" spans="1:31" s="91" customFormat="1" ht="15.6" customHeight="1">
      <c r="A31" s="37" t="s">
        <v>19</v>
      </c>
      <c r="B31" s="274" t="s">
        <v>1</v>
      </c>
      <c r="C31" s="40">
        <v>0</v>
      </c>
      <c r="D31" s="278">
        <f t="shared" si="1"/>
        <v>0</v>
      </c>
      <c r="E31" s="277">
        <f t="shared" si="2"/>
        <v>0</v>
      </c>
      <c r="F31" s="275">
        <f>IF(C31="-","-",IF('P-T Over Cap'!$F$42="Yes",E31/$B$7,"-"))</f>
        <v>0</v>
      </c>
      <c r="G31" s="10"/>
      <c r="H31" s="10"/>
      <c r="I31" s="10"/>
      <c r="J31" s="13"/>
      <c r="K31" s="12"/>
      <c r="L31" s="10"/>
      <c r="M31" s="10"/>
      <c r="N31" s="93"/>
      <c r="O31" s="93"/>
      <c r="P31" s="93"/>
      <c r="Q31" s="93"/>
      <c r="R31" s="93"/>
      <c r="S31" s="93"/>
      <c r="T31" s="93"/>
      <c r="U31" s="93"/>
      <c r="AA31" s="94"/>
      <c r="AB31" s="95"/>
      <c r="AC31" s="95"/>
      <c r="AD31" s="95"/>
      <c r="AE31" s="95"/>
    </row>
    <row r="32" spans="1:31" s="91" customFormat="1" ht="15.6" customHeight="1">
      <c r="A32" s="37" t="s">
        <v>17</v>
      </c>
      <c r="B32" s="274" t="s">
        <v>1</v>
      </c>
      <c r="C32" s="40">
        <v>0</v>
      </c>
      <c r="D32" s="278">
        <f t="shared" si="1"/>
        <v>0</v>
      </c>
      <c r="E32" s="277">
        <f t="shared" si="2"/>
        <v>0</v>
      </c>
      <c r="F32" s="275">
        <f>IF(C32="-","-",IF('P-T Over Cap'!$F$42="Yes",E32/$B$7,"-"))</f>
        <v>0</v>
      </c>
      <c r="G32" s="10"/>
      <c r="H32" s="10"/>
      <c r="I32" s="10"/>
      <c r="J32" s="13"/>
      <c r="K32" s="12"/>
      <c r="L32" s="10"/>
      <c r="M32" s="10"/>
      <c r="N32" s="93"/>
      <c r="O32" s="93"/>
      <c r="P32" s="93"/>
      <c r="Q32" s="93"/>
      <c r="R32" s="93"/>
      <c r="S32" s="93"/>
      <c r="T32" s="93"/>
      <c r="U32" s="93"/>
      <c r="AA32" s="94"/>
      <c r="AB32" s="95"/>
      <c r="AC32" s="95"/>
      <c r="AD32" s="95"/>
      <c r="AE32" s="95"/>
    </row>
    <row r="33" spans="1:31" s="91" customFormat="1" ht="15.9" customHeight="1">
      <c r="A33" s="37" t="s">
        <v>16</v>
      </c>
      <c r="B33" s="274" t="s">
        <v>1</v>
      </c>
      <c r="C33" s="40">
        <v>0</v>
      </c>
      <c r="D33" s="278">
        <f t="shared" si="1"/>
        <v>0</v>
      </c>
      <c r="E33" s="277">
        <f t="shared" si="2"/>
        <v>0</v>
      </c>
      <c r="F33" s="275">
        <f>IF(C33="-","-",IF('P-T Over Cap'!$F$42="Yes",E33/$B$7,"-"))</f>
        <v>0</v>
      </c>
      <c r="G33" s="10"/>
      <c r="H33" s="2"/>
      <c r="I33" s="10"/>
      <c r="J33" s="13"/>
      <c r="K33" s="12"/>
      <c r="L33" s="10"/>
      <c r="M33" s="10"/>
      <c r="N33" s="93"/>
      <c r="O33" s="93"/>
      <c r="P33" s="93"/>
      <c r="Q33" s="93"/>
      <c r="R33" s="93"/>
      <c r="S33" s="93"/>
      <c r="T33" s="93"/>
      <c r="U33" s="93"/>
      <c r="AA33" s="94"/>
      <c r="AB33" s="95"/>
      <c r="AC33" s="95"/>
      <c r="AD33" s="95"/>
      <c r="AE33" s="95"/>
    </row>
    <row r="34" spans="1:31" s="91" customFormat="1" ht="15.6" customHeight="1">
      <c r="A34" s="37" t="s">
        <v>15</v>
      </c>
      <c r="B34" s="274" t="s">
        <v>1</v>
      </c>
      <c r="C34" s="40">
        <v>0</v>
      </c>
      <c r="D34" s="278">
        <f t="shared" si="1"/>
        <v>0</v>
      </c>
      <c r="E34" s="277">
        <f t="shared" si="2"/>
        <v>0</v>
      </c>
      <c r="F34" s="275">
        <f>IF(C34="-","-",IF('P-T Over Cap'!$F$42="Yes",E34/$B$7,"-"))</f>
        <v>0</v>
      </c>
      <c r="G34" s="24"/>
      <c r="H34" s="2"/>
      <c r="I34" s="10"/>
      <c r="J34" s="13"/>
      <c r="K34" s="12"/>
      <c r="L34" s="10"/>
      <c r="M34" s="10"/>
      <c r="N34" s="93"/>
      <c r="O34" s="93"/>
      <c r="P34" s="93"/>
      <c r="Q34" s="93"/>
      <c r="R34" s="93"/>
      <c r="S34" s="93"/>
      <c r="T34" s="93"/>
      <c r="U34" s="93"/>
      <c r="AA34" s="94"/>
      <c r="AB34" s="95"/>
      <c r="AC34" s="95"/>
      <c r="AD34" s="95"/>
      <c r="AE34" s="95"/>
    </row>
    <row r="35" spans="1:31" s="91" customFormat="1" ht="15.6" customHeight="1">
      <c r="A35" s="37" t="s">
        <v>55</v>
      </c>
      <c r="B35" s="274" t="s">
        <v>1</v>
      </c>
      <c r="C35" s="40">
        <v>0</v>
      </c>
      <c r="D35" s="278">
        <f t="shared" si="1"/>
        <v>0</v>
      </c>
      <c r="E35" s="277">
        <f t="shared" si="2"/>
        <v>0</v>
      </c>
      <c r="F35" s="275">
        <f>IF(C35="-","-",IF('P-T Over Cap'!$F$42="Yes",E35/$B$7,"-"))</f>
        <v>0</v>
      </c>
      <c r="G35" s="24"/>
      <c r="H35" s="2"/>
      <c r="I35" s="10"/>
      <c r="J35" s="13"/>
      <c r="K35" s="12"/>
      <c r="L35" s="10"/>
      <c r="M35" s="10"/>
      <c r="N35" s="93"/>
      <c r="O35" s="93"/>
      <c r="P35" s="93"/>
      <c r="Q35" s="93"/>
      <c r="R35" s="93"/>
      <c r="S35" s="93"/>
      <c r="T35" s="93"/>
      <c r="U35" s="93"/>
      <c r="AA35" s="94"/>
      <c r="AB35" s="95"/>
      <c r="AC35" s="95"/>
      <c r="AD35" s="95"/>
      <c r="AE35" s="95"/>
    </row>
    <row r="36" spans="1:31" s="91" customFormat="1" ht="15.6" customHeight="1">
      <c r="A36" s="105" t="s">
        <v>56</v>
      </c>
      <c r="B36" s="274" t="s">
        <v>1</v>
      </c>
      <c r="C36" s="40">
        <v>0</v>
      </c>
      <c r="D36" s="278">
        <f t="shared" si="1"/>
        <v>0</v>
      </c>
      <c r="E36" s="277">
        <f t="shared" si="2"/>
        <v>0</v>
      </c>
      <c r="F36" s="275">
        <f>IF(C36="-","-",IF('P-T Over Cap'!$F$42="Yes",E36/$B$7,"-"))</f>
        <v>0</v>
      </c>
      <c r="G36" s="10"/>
      <c r="H36" s="20"/>
      <c r="I36" s="10"/>
      <c r="J36" s="2"/>
      <c r="K36" s="12"/>
      <c r="L36" s="10"/>
      <c r="M36" s="10"/>
      <c r="N36" s="93"/>
      <c r="O36" s="93"/>
      <c r="P36" s="93"/>
      <c r="Q36" s="93"/>
      <c r="R36" s="93"/>
      <c r="S36" s="93"/>
      <c r="T36" s="93"/>
      <c r="U36" s="93"/>
      <c r="AA36" s="94"/>
      <c r="AB36" s="95"/>
      <c r="AC36" s="95"/>
      <c r="AD36" s="95"/>
      <c r="AE36" s="95"/>
    </row>
    <row r="37" spans="1:31" s="91" customFormat="1" ht="15.6" customHeight="1">
      <c r="A37" s="145" t="s">
        <v>54</v>
      </c>
      <c r="B37" s="225"/>
      <c r="C37" s="116">
        <f>SUM(C26:C36)</f>
        <v>0</v>
      </c>
      <c r="D37" s="139">
        <f>SUM(D26:D36)</f>
        <v>0</v>
      </c>
      <c r="E37" s="235">
        <f>SUM(E26:E36)</f>
        <v>0</v>
      </c>
      <c r="F37" s="139">
        <f>SUM(F26:F36)</f>
        <v>0</v>
      </c>
      <c r="G37" s="10"/>
      <c r="H37" s="20"/>
      <c r="I37" s="10"/>
      <c r="J37" s="2"/>
      <c r="K37" s="12"/>
      <c r="L37" s="10"/>
      <c r="M37" s="10"/>
      <c r="N37" s="93"/>
      <c r="O37" s="93"/>
      <c r="P37" s="93"/>
      <c r="Q37" s="93"/>
      <c r="R37" s="93"/>
      <c r="S37" s="93"/>
      <c r="T37" s="93"/>
      <c r="U37" s="93"/>
      <c r="AA37" s="94"/>
      <c r="AB37" s="95"/>
      <c r="AC37" s="95"/>
      <c r="AD37" s="95"/>
      <c r="AE37" s="95"/>
    </row>
    <row r="38" spans="1:31" s="91" customFormat="1" ht="15.6" customHeight="1" thickBot="1">
      <c r="A38" s="269"/>
      <c r="B38" s="269"/>
      <c r="C38" s="269"/>
      <c r="D38" s="269"/>
      <c r="E38" s="269"/>
      <c r="F38" s="269"/>
      <c r="G38" s="10"/>
      <c r="H38" s="20"/>
      <c r="I38" s="10"/>
      <c r="J38" s="2"/>
      <c r="K38" s="12"/>
      <c r="L38" s="10"/>
      <c r="M38" s="10"/>
      <c r="N38" s="93"/>
      <c r="O38" s="93"/>
      <c r="P38" s="93"/>
      <c r="Q38" s="93"/>
      <c r="R38" s="93"/>
      <c r="S38" s="93"/>
      <c r="T38" s="93"/>
      <c r="U38" s="93"/>
      <c r="AA38" s="94"/>
      <c r="AB38" s="95"/>
      <c r="AC38" s="95"/>
      <c r="AD38" s="95"/>
      <c r="AE38" s="95"/>
    </row>
    <row r="39" spans="1:31" s="91" customFormat="1" ht="15.9" customHeight="1">
      <c r="A39" s="128" t="s">
        <v>73</v>
      </c>
      <c r="B39" s="24"/>
      <c r="C39" s="190">
        <f>C24+C37</f>
        <v>4.5600000000000005</v>
      </c>
      <c r="D39" s="191">
        <f>D24+D37</f>
        <v>0.95</v>
      </c>
      <c r="E39" s="70">
        <f>E24+E37</f>
        <v>87231.374999999985</v>
      </c>
      <c r="F39" s="191">
        <f>F24+F37</f>
        <v>0.81907394366197173</v>
      </c>
      <c r="G39" s="120"/>
      <c r="H39" s="2"/>
      <c r="I39" s="10"/>
      <c r="J39" s="2"/>
      <c r="K39" s="10"/>
      <c r="L39" s="2"/>
      <c r="M39" s="10"/>
      <c r="N39" s="93"/>
      <c r="O39" s="93"/>
      <c r="P39" s="93"/>
      <c r="Q39" s="93"/>
      <c r="R39" s="93"/>
      <c r="S39" s="93"/>
      <c r="T39" s="93"/>
      <c r="U39" s="93"/>
      <c r="W39" s="94"/>
      <c r="AA39" s="94"/>
      <c r="AB39" s="95"/>
      <c r="AC39" s="95"/>
      <c r="AD39" s="95"/>
      <c r="AE39" s="95"/>
    </row>
    <row r="40" spans="1:31" ht="30" customHeight="1">
      <c r="A40" s="286" t="str">
        <f>IF(AND($D$39&gt;=0.951, $D$39&lt;=1),"Warning! % Effort is Greater Than 95%. You are certifying that all other activities including but not limited to clinical, teaching, administrative &amp; application preparation are included in Cell D41 below. Update CMs above if inaccurate.", IF($D$39&gt;1, "Percent Effort Exceeds 100%. Reduce Effort to 95% or Lower.", ""))</f>
        <v/>
      </c>
      <c r="B40" s="286"/>
      <c r="C40" s="286"/>
      <c r="D40" s="286"/>
      <c r="E40" s="286"/>
      <c r="F40" s="286"/>
      <c r="G40" s="34"/>
      <c r="H40" s="34"/>
      <c r="I40" s="33"/>
      <c r="J40" s="13"/>
      <c r="K40" s="12"/>
      <c r="L40" s="32"/>
      <c r="M40" s="32"/>
      <c r="N40" s="32"/>
      <c r="O40" s="32"/>
      <c r="P40" s="32"/>
      <c r="Q40" s="32"/>
      <c r="R40" s="32"/>
      <c r="S40" s="32"/>
      <c r="T40" s="32"/>
      <c r="V40" s="9"/>
      <c r="W40" s="32"/>
      <c r="X40" s="9"/>
      <c r="Y40" s="9"/>
      <c r="Z40" s="2"/>
      <c r="AA40" s="9"/>
      <c r="AB40" s="2"/>
      <c r="AC40" s="2"/>
      <c r="AD40" s="2"/>
      <c r="AE40" s="2"/>
    </row>
    <row r="41" spans="1:31" ht="15.9" customHeight="1">
      <c r="A41" s="143" t="s">
        <v>13</v>
      </c>
      <c r="B41" s="143"/>
      <c r="C41" s="102">
        <f>F13-C39</f>
        <v>0.24000000000000021</v>
      </c>
      <c r="D41" s="103">
        <f>1-D39</f>
        <v>5.0000000000000044E-2</v>
      </c>
      <c r="E41" s="104">
        <f>IF(OR(B15="No", B16="No", B17="No", B18="No",B19="No",B20="No",B21="No",B22="No",B23="No", B26="No",B27="No", B28="No", B29="No",B30="No",B31="No",B32="No",B33="No",B34="No", B35="No", B36="No"),$B$7-E39,$F$10-E39)</f>
        <v>19268.625000000015</v>
      </c>
      <c r="F41" s="203">
        <f>IF($F46="Yes", F42-F39, 0)</f>
        <v>0.18092605633802827</v>
      </c>
      <c r="G41" s="34"/>
      <c r="H41" s="11"/>
      <c r="I41" s="11"/>
      <c r="J41" s="13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X41" s="9"/>
      <c r="Y41" s="2"/>
      <c r="Z41" s="2"/>
      <c r="AA41" s="9"/>
      <c r="AB41" s="8"/>
      <c r="AC41" s="8"/>
      <c r="AD41" s="8"/>
      <c r="AE41" s="5"/>
    </row>
    <row r="42" spans="1:31" ht="15.9" customHeight="1">
      <c r="A42" s="144" t="s">
        <v>71</v>
      </c>
      <c r="B42" s="145"/>
      <c r="C42" s="69">
        <f>C39+C41</f>
        <v>4.8000000000000007</v>
      </c>
      <c r="D42" s="191">
        <f>D39+D41</f>
        <v>1</v>
      </c>
      <c r="E42" s="70">
        <f>E39+E41</f>
        <v>106500</v>
      </c>
      <c r="F42" s="141">
        <f>IF($F$46="Yes", 100%, 0)</f>
        <v>1</v>
      </c>
      <c r="G42" s="34"/>
      <c r="H42" s="11"/>
      <c r="I42" s="27"/>
      <c r="J42" s="13"/>
      <c r="K42" s="12"/>
      <c r="L42" s="10"/>
      <c r="M42" s="11"/>
      <c r="N42" s="11"/>
      <c r="O42" s="11"/>
      <c r="P42" s="11"/>
      <c r="Q42" s="11"/>
      <c r="R42" s="11"/>
      <c r="S42" s="11"/>
      <c r="T42" s="11"/>
      <c r="U42" s="10"/>
      <c r="X42" s="9"/>
      <c r="Y42" s="2"/>
      <c r="Z42" s="2"/>
      <c r="AA42" s="9"/>
      <c r="AB42" s="8"/>
      <c r="AC42" s="8"/>
      <c r="AD42" s="8"/>
      <c r="AE42" s="5"/>
    </row>
    <row r="43" spans="1:31" s="2" customFormat="1" ht="15.9" customHeight="1">
      <c r="A43" s="289" t="s">
        <v>68</v>
      </c>
      <c r="B43" s="289"/>
      <c r="C43" s="289"/>
      <c r="D43" s="289"/>
      <c r="E43" s="289"/>
      <c r="F43" s="289"/>
      <c r="G43" s="59"/>
      <c r="I43" s="10"/>
      <c r="K43" s="10"/>
      <c r="M43" s="10"/>
      <c r="N43" s="10"/>
      <c r="O43" s="10"/>
      <c r="P43" s="10"/>
      <c r="Q43" s="10"/>
      <c r="R43" s="10"/>
      <c r="S43" s="10"/>
      <c r="T43" s="10"/>
      <c r="U43" s="22"/>
      <c r="V43" s="15"/>
      <c r="Y43" s="15"/>
      <c r="AA43" s="9"/>
      <c r="AB43" s="8"/>
      <c r="AC43" s="8"/>
      <c r="AD43" s="8"/>
      <c r="AE43" s="8"/>
    </row>
    <row r="44" spans="1:31" s="2" customFormat="1" ht="15.9" customHeight="1">
      <c r="A44" s="24"/>
      <c r="B44" s="24"/>
      <c r="D44" s="19"/>
      <c r="E44" s="24"/>
      <c r="F44" s="163"/>
      <c r="G44" s="59"/>
      <c r="I44" s="10"/>
      <c r="K44" s="10"/>
      <c r="M44" s="10"/>
      <c r="N44" s="10"/>
      <c r="O44" s="10"/>
      <c r="P44" s="10"/>
      <c r="Q44" s="10"/>
      <c r="R44" s="10"/>
      <c r="S44" s="10"/>
      <c r="T44" s="10"/>
      <c r="U44" s="22"/>
      <c r="V44" s="15"/>
      <c r="Y44" s="15"/>
      <c r="AA44" s="9"/>
      <c r="AB44" s="8"/>
      <c r="AC44" s="8"/>
      <c r="AD44" s="8"/>
      <c r="AE44" s="8"/>
    </row>
    <row r="45" spans="1:31" s="2" customFormat="1" ht="15.9" hidden="1" customHeight="1">
      <c r="A45" s="24" t="str">
        <f>'P-T Over Cap'!A41</f>
        <v xml:space="preserve">Section 4  Confirm Whether the Budgeted Effort is the SAME as the Actual Effort       </v>
      </c>
      <c r="B45" s="24"/>
      <c r="C45" s="24"/>
      <c r="D45" s="24"/>
      <c r="E45" s="24"/>
      <c r="F45" s="24" t="str">
        <f>'P-T Over Cap'!F41</f>
        <v>Y/N?</v>
      </c>
      <c r="G45" s="59"/>
      <c r="I45" s="10"/>
      <c r="K45" s="10"/>
      <c r="M45" s="10"/>
      <c r="N45" s="10"/>
      <c r="O45" s="10"/>
      <c r="P45" s="10"/>
      <c r="Q45" s="10"/>
      <c r="R45" s="10"/>
      <c r="S45" s="10"/>
      <c r="T45" s="10"/>
      <c r="U45" s="22"/>
      <c r="V45" s="15"/>
      <c r="Y45" s="15"/>
      <c r="AA45" s="9"/>
      <c r="AB45" s="8"/>
      <c r="AC45" s="8"/>
      <c r="AD45" s="8"/>
      <c r="AE45" s="8"/>
    </row>
    <row r="46" spans="1:31" s="2" customFormat="1" ht="15.9" hidden="1" customHeight="1">
      <c r="A46" s="24" t="str">
        <f>'P-T Over Cap'!A42</f>
        <v>Confirm with employee.  Is the budgeted effort the actual effort for each project?</v>
      </c>
      <c r="B46" s="24"/>
      <c r="C46" s="24"/>
      <c r="D46" s="24"/>
      <c r="E46" s="24"/>
      <c r="F46" s="236" t="str">
        <f>'P-T Over Cap'!F42</f>
        <v>Yes</v>
      </c>
      <c r="G46" s="59"/>
      <c r="I46" s="10"/>
      <c r="K46" s="10"/>
      <c r="M46" s="10"/>
      <c r="N46" s="10"/>
      <c r="O46" s="10"/>
      <c r="P46" s="10"/>
      <c r="Q46" s="10"/>
      <c r="R46" s="10"/>
      <c r="S46" s="10"/>
      <c r="T46" s="10"/>
      <c r="U46" s="22"/>
      <c r="V46" s="15"/>
      <c r="Y46" s="15"/>
      <c r="AA46" s="9"/>
      <c r="AB46" s="8"/>
      <c r="AC46" s="8"/>
      <c r="AD46" s="8"/>
      <c r="AE46" s="8"/>
    </row>
    <row r="47" spans="1:31" s="2" customFormat="1" ht="15.9" hidden="1" customHeight="1">
      <c r="A47" s="24" t="str">
        <f>'P-T Over Cap'!A43</f>
        <v>If Yes, process salary source transactions as indicated above in Section 3 the ''% Eff for Paas''column.  Skip section 5.</v>
      </c>
      <c r="B47" s="24"/>
      <c r="C47" s="24"/>
      <c r="D47" s="24"/>
      <c r="E47" s="24"/>
      <c r="F47" s="24"/>
      <c r="G47" s="59"/>
      <c r="I47" s="10"/>
      <c r="K47" s="10"/>
      <c r="M47" s="10"/>
      <c r="N47" s="10"/>
      <c r="O47" s="10"/>
      <c r="P47" s="10"/>
      <c r="Q47" s="10"/>
      <c r="R47" s="10"/>
      <c r="S47" s="10"/>
      <c r="T47" s="10"/>
      <c r="U47" s="22"/>
      <c r="V47" s="15"/>
      <c r="Y47" s="15"/>
      <c r="AA47" s="9"/>
      <c r="AB47" s="8"/>
      <c r="AC47" s="8"/>
      <c r="AD47" s="8"/>
      <c r="AE47" s="8"/>
    </row>
    <row r="48" spans="1:31" s="2" customFormat="1" ht="15.9" customHeight="1">
      <c r="A48" s="128"/>
      <c r="B48" s="23"/>
      <c r="C48" s="58"/>
      <c r="D48" s="19"/>
      <c r="E48" s="187"/>
      <c r="F48" s="15"/>
      <c r="G48" s="10"/>
      <c r="I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22"/>
      <c r="V48" s="15"/>
      <c r="Y48" s="15"/>
      <c r="AA48" s="9"/>
      <c r="AB48" s="8"/>
      <c r="AC48" s="8"/>
      <c r="AD48" s="8"/>
      <c r="AE48" s="8"/>
    </row>
    <row r="49" spans="1:31" s="2" customFormat="1" ht="15.9" hidden="1" customHeight="1">
      <c r="A49" s="4" t="s">
        <v>2</v>
      </c>
      <c r="B49" s="24"/>
      <c r="D49" s="19"/>
      <c r="E49" s="24"/>
      <c r="F49" s="163"/>
      <c r="G49" s="59"/>
      <c r="I49" s="10"/>
      <c r="K49" s="10"/>
      <c r="M49" s="10"/>
      <c r="N49" s="10"/>
      <c r="O49" s="10"/>
      <c r="P49" s="10"/>
      <c r="Q49" s="10"/>
      <c r="R49" s="10"/>
      <c r="S49" s="10"/>
      <c r="T49" s="10"/>
      <c r="U49" s="10"/>
      <c r="W49" s="9"/>
      <c r="AA49" s="9"/>
      <c r="AB49" s="8"/>
      <c r="AC49" s="8"/>
      <c r="AD49" s="8"/>
      <c r="AE49" s="8"/>
    </row>
    <row r="50" spans="1:31" s="2" customFormat="1" ht="15.9" hidden="1" customHeight="1">
      <c r="A50" s="3" t="s">
        <v>1</v>
      </c>
      <c r="B50" s="24"/>
      <c r="D50" s="19"/>
      <c r="E50" s="24"/>
      <c r="F50" s="163"/>
      <c r="G50" s="59"/>
      <c r="I50" s="10"/>
      <c r="K50" s="10"/>
      <c r="M50" s="10"/>
      <c r="N50" s="10"/>
      <c r="O50" s="10"/>
      <c r="P50" s="10"/>
      <c r="Q50" s="10"/>
      <c r="R50" s="10"/>
      <c r="S50" s="10"/>
      <c r="T50" s="10"/>
      <c r="U50" s="10"/>
      <c r="W50" s="9"/>
      <c r="AA50" s="9"/>
      <c r="AB50" s="8"/>
      <c r="AC50" s="8"/>
      <c r="AD50" s="8"/>
      <c r="AE50" s="8"/>
    </row>
    <row r="51" spans="1:31" s="2" customFormat="1" ht="15.9" hidden="1" customHeight="1">
      <c r="A51" s="3" t="s">
        <v>0</v>
      </c>
      <c r="B51" s="24"/>
      <c r="D51" s="19"/>
      <c r="E51" s="24"/>
      <c r="F51" s="163"/>
      <c r="G51" s="59"/>
      <c r="I51" s="10"/>
      <c r="K51" s="10"/>
      <c r="M51" s="10"/>
      <c r="N51" s="10"/>
      <c r="O51" s="10"/>
      <c r="P51" s="10"/>
      <c r="Q51" s="10"/>
      <c r="R51" s="10"/>
      <c r="S51" s="10"/>
      <c r="T51" s="10"/>
      <c r="U51" s="22"/>
      <c r="W51" s="9"/>
      <c r="Y51" s="15"/>
      <c r="AA51" s="9"/>
      <c r="AB51" s="8"/>
      <c r="AC51" s="8"/>
      <c r="AD51" s="8"/>
      <c r="AE51" s="8"/>
    </row>
    <row r="52" spans="1:31" s="2" customFormat="1" ht="15.9" hidden="1" customHeight="1">
      <c r="A52" s="72"/>
      <c r="B52" s="17"/>
      <c r="C52" s="188"/>
      <c r="E52" s="71"/>
      <c r="F52" s="87"/>
      <c r="V52" s="15"/>
      <c r="AB52" s="8"/>
      <c r="AC52" s="8"/>
      <c r="AD52" s="8"/>
      <c r="AE52" s="8"/>
    </row>
    <row r="53" spans="1:31" s="2" customFormat="1" ht="15.9" customHeight="1">
      <c r="A53" s="74"/>
      <c r="B53" s="60"/>
      <c r="C53" s="89"/>
      <c r="E53" s="75"/>
      <c r="F53" s="89"/>
      <c r="V53" s="15"/>
      <c r="AB53" s="8"/>
      <c r="AC53" s="8"/>
      <c r="AD53" s="8"/>
      <c r="AE53" s="8"/>
    </row>
    <row r="54" spans="1:31" s="2" customFormat="1" ht="30.6" customHeight="1">
      <c r="A54" s="287"/>
      <c r="B54" s="287"/>
      <c r="C54" s="189"/>
      <c r="D54" s="9"/>
      <c r="E54" s="59"/>
      <c r="H54" s="59"/>
      <c r="V54" s="15"/>
      <c r="AB54" s="8"/>
      <c r="AC54" s="8"/>
      <c r="AD54" s="8"/>
      <c r="AE54" s="8"/>
    </row>
    <row r="55" spans="1:31" s="2" customFormat="1" ht="22.95" customHeight="1">
      <c r="A55" s="20"/>
      <c r="B55" s="20"/>
      <c r="C55" s="83"/>
      <c r="D55" s="29"/>
      <c r="E55" s="9"/>
      <c r="F55" s="59"/>
      <c r="G55" s="10"/>
      <c r="H55" s="10"/>
      <c r="I55" s="10"/>
      <c r="J55" s="13"/>
      <c r="K55" s="12"/>
      <c r="L55" s="10"/>
      <c r="M55" s="10"/>
      <c r="N55" s="10"/>
      <c r="O55" s="10"/>
      <c r="P55" s="10"/>
      <c r="Q55" s="10"/>
      <c r="R55" s="10"/>
      <c r="S55" s="10"/>
      <c r="T55" s="10"/>
      <c r="U55" s="10"/>
      <c r="X55" s="9"/>
      <c r="AA55" s="9"/>
      <c r="AB55" s="8"/>
      <c r="AC55" s="8"/>
      <c r="AD55" s="8"/>
      <c r="AE55" s="8"/>
    </row>
    <row r="56" spans="1:31" s="2" customFormat="1" ht="15.9" customHeight="1">
      <c r="A56" s="73"/>
      <c r="E56" s="36"/>
      <c r="J56" s="7"/>
      <c r="AB56" s="8"/>
      <c r="AC56" s="8"/>
      <c r="AD56" s="8"/>
      <c r="AE56" s="8"/>
    </row>
    <row r="57" spans="1:31" s="2" customFormat="1" ht="15.9" customHeight="1"/>
    <row r="58" spans="1:31" s="2" customFormat="1" ht="15.9" customHeight="1">
      <c r="A58" s="100"/>
      <c r="B58" s="100"/>
      <c r="C58" s="100"/>
      <c r="D58" s="100"/>
      <c r="E58" s="101"/>
      <c r="F58" s="90"/>
      <c r="AB58" s="8"/>
      <c r="AC58" s="8"/>
      <c r="AD58" s="8"/>
      <c r="AE58" s="8"/>
    </row>
    <row r="59" spans="1:31" s="2" customFormat="1" ht="15.9" customHeight="1">
      <c r="A59" s="17"/>
      <c r="B59" s="17"/>
      <c r="D59" s="17"/>
      <c r="E59" s="36"/>
      <c r="AB59" s="8"/>
      <c r="AC59" s="8"/>
      <c r="AD59" s="8"/>
      <c r="AE59" s="8"/>
    </row>
    <row r="60" spans="1:31" s="2" customFormat="1" ht="15.9" customHeight="1">
      <c r="A60" s="17"/>
      <c r="B60" s="17"/>
      <c r="D60" s="17"/>
      <c r="AB60" s="8"/>
      <c r="AC60" s="8"/>
      <c r="AD60" s="8"/>
      <c r="AE60" s="8"/>
    </row>
    <row r="61" spans="1:31" s="2" customFormat="1" ht="15.9" customHeight="1"/>
    <row r="62" spans="1:31" s="2" customFormat="1" ht="15.9" customHeight="1"/>
    <row r="63" spans="1:31" s="2" customFormat="1" ht="15.9" customHeight="1"/>
    <row r="64" spans="1:31" s="2" customFormat="1" ht="15.9" hidden="1" customHeight="1">
      <c r="A64" s="128"/>
    </row>
    <row r="65" spans="1:1" s="2" customFormat="1" ht="15.9" hidden="1" customHeight="1">
      <c r="A65" s="57"/>
    </row>
    <row r="66" spans="1:1" s="2" customFormat="1" ht="15.9" hidden="1" customHeight="1">
      <c r="A66" s="57"/>
    </row>
    <row r="67" spans="1:1" s="2" customFormat="1" ht="15.9" customHeight="1"/>
    <row r="68" spans="1:1" s="2" customFormat="1" ht="15.9" customHeight="1"/>
    <row r="69" spans="1:1" s="2" customFormat="1" ht="15.9" customHeight="1"/>
    <row r="70" spans="1:1" s="2" customFormat="1" ht="15.9" customHeight="1"/>
    <row r="71" spans="1:1" s="2" customFormat="1" ht="15.9" customHeight="1"/>
    <row r="72" spans="1:1" s="2" customFormat="1" ht="15.9" customHeight="1"/>
    <row r="73" spans="1:1" s="2" customFormat="1" ht="15.9" customHeight="1"/>
    <row r="74" spans="1:1" s="2" customFormat="1" ht="15.9" customHeight="1"/>
    <row r="75" spans="1:1" ht="15.9" customHeight="1"/>
    <row r="76" spans="1:1" ht="15.9" customHeight="1"/>
  </sheetData>
  <sheetProtection algorithmName="SHA-512" hashValue="HZjt8fg919YVHeWl+C3ShTfPaZ1YzsPtsqOArgDpG8bib6tcWGYjhjByVx6hoKGzORZV34OEhrbazp28ZaWyTQ==" saltValue="M6gAuudHI7Jx58JKknbugg==" spinCount="100000" sheet="1" formatColumns="0"/>
  <mergeCells count="4">
    <mergeCell ref="A54:B54"/>
    <mergeCell ref="A4:F4"/>
    <mergeCell ref="A43:F43"/>
    <mergeCell ref="A40:F40"/>
  </mergeCells>
  <conditionalFormatting sqref="D48">
    <cfRule type="cellIs" dxfId="0" priority="1" operator="greaterThan">
      <formula>0.95</formula>
    </cfRule>
  </conditionalFormatting>
  <dataValidations count="3">
    <dataValidation allowBlank="1" showInputMessage="1" showErrorMessage="1" promptTitle="% of Full Time Appointment" prompt="Examples:  25%, 30%, 40% of FTE etc." sqref="D7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7"/>
    <dataValidation type="list" allowBlank="1" showInputMessage="1" showErrorMessage="1" sqref="B26:B37">
      <formula1>$A$50:$A$51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showWhiteSpace="0" zoomScaleNormal="100" workbookViewId="0">
      <selection activeCell="C15" sqref="C15"/>
    </sheetView>
  </sheetViews>
  <sheetFormatPr defaultColWidth="9.109375" defaultRowHeight="14.4"/>
  <cols>
    <col min="1" max="1" width="26.6640625" style="1" customWidth="1"/>
    <col min="2" max="2" width="10.6640625" style="1" customWidth="1"/>
    <col min="3" max="3" width="20" style="1" customWidth="1"/>
    <col min="4" max="4" width="10.6640625" style="1" customWidth="1"/>
    <col min="5" max="5" width="13.6640625" style="1" customWidth="1"/>
    <col min="6" max="6" width="14.664062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10" t="s">
        <v>34</v>
      </c>
      <c r="B1" s="211"/>
      <c r="C1" s="211"/>
      <c r="D1" s="211"/>
      <c r="E1" s="211"/>
      <c r="F1" s="212"/>
      <c r="G1" s="7"/>
      <c r="H1" s="7"/>
      <c r="I1" s="51"/>
      <c r="J1" s="51"/>
      <c r="K1" s="51"/>
      <c r="L1" s="51"/>
    </row>
    <row r="2" spans="1:31" customFormat="1">
      <c r="A2" s="213" t="s">
        <v>65</v>
      </c>
      <c r="B2" s="211"/>
      <c r="C2" s="211"/>
      <c r="D2" s="211"/>
      <c r="E2" s="211"/>
      <c r="F2" s="212"/>
      <c r="G2" s="7"/>
      <c r="H2" s="7"/>
      <c r="I2" s="51"/>
      <c r="J2" s="51"/>
      <c r="K2" s="51"/>
      <c r="L2" s="51"/>
    </row>
    <row r="3" spans="1:31" customFormat="1">
      <c r="A3" s="213" t="s">
        <v>62</v>
      </c>
      <c r="B3" s="211"/>
      <c r="C3" s="211"/>
      <c r="D3" s="211"/>
      <c r="E3" s="211"/>
      <c r="F3" s="212"/>
      <c r="G3" s="7"/>
      <c r="H3" s="7"/>
      <c r="I3" s="51"/>
      <c r="J3" s="51"/>
      <c r="K3" s="51"/>
      <c r="L3" s="51"/>
    </row>
    <row r="4" spans="1:31">
      <c r="A4" s="288" t="s">
        <v>77</v>
      </c>
      <c r="B4" s="288"/>
      <c r="C4" s="288"/>
      <c r="D4" s="288"/>
      <c r="E4" s="288"/>
      <c r="F4" s="288"/>
      <c r="G4" s="7"/>
      <c r="H4" s="7"/>
      <c r="J4" s="7"/>
      <c r="K4" s="7"/>
      <c r="L4" s="7"/>
      <c r="M4" s="7"/>
      <c r="N4" s="97"/>
      <c r="O4" s="97"/>
      <c r="P4" s="97"/>
      <c r="Q4" s="97"/>
      <c r="R4" s="97"/>
      <c r="S4" s="97"/>
      <c r="T4" s="97"/>
      <c r="U4" s="97"/>
      <c r="V4" s="91"/>
      <c r="W4" s="122"/>
      <c r="X4" s="122"/>
      <c r="Y4" s="122"/>
      <c r="Z4" s="91"/>
      <c r="AA4" s="94"/>
      <c r="AB4" s="10"/>
      <c r="AC4" s="9"/>
      <c r="AD4" s="2"/>
      <c r="AE4" s="2"/>
    </row>
    <row r="5" spans="1:31">
      <c r="A5" s="288" t="s">
        <v>61</v>
      </c>
      <c r="B5" s="288"/>
      <c r="C5" s="288"/>
      <c r="D5" s="288"/>
      <c r="E5" s="288"/>
      <c r="F5" s="288"/>
      <c r="G5" s="7"/>
      <c r="H5" s="7"/>
      <c r="J5" s="7"/>
      <c r="K5" s="7"/>
      <c r="L5" s="7"/>
      <c r="M5" s="7"/>
      <c r="N5" s="97"/>
      <c r="O5" s="97"/>
      <c r="P5" s="97"/>
      <c r="Q5" s="97"/>
      <c r="R5" s="97"/>
      <c r="S5" s="97"/>
      <c r="T5" s="97"/>
      <c r="U5" s="97"/>
      <c r="V5" s="91"/>
      <c r="W5" s="122"/>
      <c r="X5" s="122"/>
      <c r="Y5" s="122"/>
      <c r="Z5" s="91"/>
      <c r="AA5" s="94"/>
      <c r="AB5" s="10"/>
      <c r="AC5" s="9"/>
      <c r="AD5" s="2"/>
      <c r="AE5" s="2"/>
    </row>
    <row r="6" spans="1:31">
      <c r="A6" s="194" t="s">
        <v>35</v>
      </c>
      <c r="B6" s="226">
        <f>'P-T Over Cap'!B12</f>
        <v>0</v>
      </c>
      <c r="C6" s="226"/>
      <c r="D6" s="226"/>
      <c r="E6" s="3"/>
      <c r="F6" s="57"/>
      <c r="G6" s="2"/>
      <c r="H6" s="2"/>
      <c r="V6" s="2"/>
      <c r="W6" s="2"/>
      <c r="X6" s="2"/>
      <c r="Y6" s="2"/>
      <c r="Z6" s="2"/>
      <c r="AA6" s="15"/>
      <c r="AB6" s="15"/>
      <c r="AC6" s="32"/>
      <c r="AD6" s="18"/>
      <c r="AE6" s="2"/>
    </row>
    <row r="7" spans="1:31">
      <c r="A7" s="195" t="s">
        <v>33</v>
      </c>
      <c r="B7" s="226">
        <f>'P-T Over Cap'!B13</f>
        <v>0</v>
      </c>
      <c r="C7" s="3"/>
      <c r="D7" s="172" t="s">
        <v>32</v>
      </c>
      <c r="E7" s="226">
        <f>'P-T Over Cap'!E13</f>
        <v>0</v>
      </c>
      <c r="F7" s="226"/>
      <c r="G7" s="2"/>
      <c r="H7" s="2"/>
      <c r="V7" s="2"/>
      <c r="W7" s="2"/>
      <c r="X7" s="2"/>
      <c r="Y7" s="2"/>
      <c r="Z7" s="2"/>
      <c r="AA7" s="13"/>
      <c r="AB7" s="15"/>
      <c r="AC7" s="32"/>
      <c r="AD7" s="18"/>
      <c r="AE7" s="2"/>
    </row>
    <row r="8" spans="1:31" ht="4.95" customHeight="1">
      <c r="A8" s="57"/>
      <c r="B8" s="128"/>
      <c r="C8" s="57"/>
      <c r="D8" s="57"/>
      <c r="E8" s="57"/>
      <c r="F8" s="57"/>
      <c r="V8" s="2"/>
      <c r="W8" s="2"/>
      <c r="X8" s="2"/>
      <c r="Y8" s="2"/>
      <c r="Z8" s="2"/>
      <c r="AA8" s="13"/>
      <c r="AB8" s="15"/>
      <c r="AC8" s="32"/>
      <c r="AD8" s="18"/>
      <c r="AE8" s="2"/>
    </row>
    <row r="9" spans="1:31">
      <c r="A9" s="128"/>
      <c r="B9" s="128"/>
      <c r="C9" s="3"/>
      <c r="D9" s="57"/>
      <c r="E9" s="57"/>
      <c r="F9" s="57"/>
      <c r="V9" s="2"/>
      <c r="W9" s="2"/>
      <c r="X9" s="2"/>
      <c r="Y9" s="2"/>
      <c r="Z9" s="2"/>
      <c r="AA9" s="13"/>
      <c r="AB9" s="15"/>
      <c r="AC9" s="32"/>
      <c r="AD9" s="18"/>
      <c r="AE9" s="2"/>
    </row>
    <row r="10" spans="1:31">
      <c r="A10" s="158" t="s">
        <v>52</v>
      </c>
      <c r="B10" s="159">
        <f>'P-T Over Cap'!B16</f>
        <v>106500</v>
      </c>
      <c r="C10" s="160" t="s">
        <v>36</v>
      </c>
      <c r="D10" s="161">
        <f>'P-T Over Cap'!D16</f>
        <v>0.4</v>
      </c>
      <c r="E10" s="162"/>
      <c r="F10" s="65">
        <f>B10/D10</f>
        <v>266250</v>
      </c>
      <c r="G10" s="84"/>
      <c r="V10" s="2"/>
      <c r="W10" s="2"/>
      <c r="X10" s="2"/>
      <c r="Y10" s="2"/>
      <c r="Z10" s="2"/>
      <c r="AA10" s="13"/>
      <c r="AB10" s="15"/>
      <c r="AC10" s="32"/>
      <c r="AD10" s="18"/>
      <c r="AE10" s="2"/>
    </row>
    <row r="11" spans="1:31">
      <c r="A11" s="50"/>
      <c r="B11" s="171"/>
      <c r="C11" s="57"/>
      <c r="D11" s="172"/>
      <c r="E11" s="39"/>
      <c r="F11" s="172" t="s">
        <v>40</v>
      </c>
      <c r="V11" s="2"/>
      <c r="W11" s="2"/>
      <c r="X11" s="2"/>
      <c r="Y11" s="2"/>
      <c r="Z11" s="2"/>
      <c r="AA11" s="13"/>
      <c r="AB11" s="15"/>
      <c r="AC11" s="32"/>
      <c r="AD11" s="18"/>
      <c r="AE11" s="2"/>
    </row>
    <row r="12" spans="1:31" s="3" customFormat="1" ht="7.5" customHeight="1">
      <c r="A12" s="128"/>
      <c r="B12" s="128"/>
      <c r="C12" s="57"/>
      <c r="D12" s="57"/>
      <c r="E12" s="39"/>
      <c r="F12" s="57"/>
      <c r="U12" s="57"/>
      <c r="V12" s="57"/>
      <c r="W12" s="57"/>
      <c r="X12" s="57"/>
      <c r="Y12" s="57"/>
      <c r="Z12" s="57"/>
      <c r="AA12" s="143"/>
      <c r="AB12" s="163"/>
      <c r="AC12" s="164"/>
      <c r="AD12" s="165"/>
      <c r="AE12" s="57"/>
    </row>
    <row r="13" spans="1:31" s="3" customFormat="1">
      <c r="A13" s="166" t="s">
        <v>29</v>
      </c>
      <c r="B13" s="167">
        <f>'P-T Over Cap'!B19</f>
        <v>212100</v>
      </c>
      <c r="C13" s="168"/>
      <c r="D13" s="169">
        <f>D10</f>
        <v>0.4</v>
      </c>
      <c r="E13" s="162"/>
      <c r="F13" s="62">
        <f>B13*D13</f>
        <v>84840</v>
      </c>
      <c r="U13" s="57"/>
      <c r="V13" s="57"/>
      <c r="W13" s="57"/>
      <c r="X13" s="57"/>
      <c r="Y13" s="57"/>
      <c r="Z13" s="57"/>
      <c r="AA13" s="143"/>
      <c r="AB13" s="163"/>
      <c r="AC13" s="164"/>
      <c r="AD13" s="165"/>
      <c r="AE13" s="57"/>
    </row>
    <row r="14" spans="1:31">
      <c r="A14" s="3"/>
      <c r="B14" s="173"/>
      <c r="C14" s="57"/>
      <c r="D14" s="57"/>
      <c r="E14" s="57"/>
      <c r="F14" s="160" t="s">
        <v>53</v>
      </c>
      <c r="V14" s="2"/>
      <c r="W14" s="2"/>
      <c r="X14" s="2"/>
      <c r="Y14" s="2"/>
      <c r="Z14" s="2"/>
      <c r="AA14" s="13"/>
      <c r="AB14" s="15"/>
      <c r="AC14" s="32"/>
      <c r="AD14" s="18"/>
      <c r="AE14" s="2"/>
    </row>
    <row r="15" spans="1:31">
      <c r="A15" s="57"/>
      <c r="B15" s="171"/>
      <c r="C15" s="57"/>
      <c r="D15" s="174"/>
      <c r="E15" s="199" t="s">
        <v>27</v>
      </c>
      <c r="F15" s="174">
        <f>'P-T Over Cap'!F25</f>
        <v>4.8000000000000007</v>
      </c>
      <c r="G15" s="47"/>
      <c r="H15" s="47"/>
      <c r="I15" s="47"/>
      <c r="V15" s="2"/>
      <c r="W15" s="2"/>
      <c r="X15" s="2"/>
      <c r="Y15" s="2"/>
      <c r="Z15" s="2"/>
      <c r="AA15" s="13"/>
      <c r="AB15" s="15"/>
      <c r="AC15" s="32"/>
      <c r="AD15" s="18"/>
      <c r="AE15" s="2"/>
    </row>
    <row r="16" spans="1:31" ht="19.95" hidden="1" customHeight="1">
      <c r="A16" s="175" t="s">
        <v>50</v>
      </c>
      <c r="B16" s="128"/>
      <c r="C16" s="57"/>
      <c r="D16" s="31"/>
      <c r="E16" s="57"/>
      <c r="F16" s="176" t="s">
        <v>12</v>
      </c>
      <c r="G16" s="11"/>
      <c r="H16" s="20"/>
      <c r="I16" s="11"/>
      <c r="J16" s="13"/>
      <c r="K16" s="12"/>
      <c r="L16" s="10"/>
      <c r="M16" s="11"/>
      <c r="N16" s="11"/>
      <c r="O16" s="11"/>
      <c r="P16" s="11"/>
      <c r="Q16" s="11"/>
      <c r="R16" s="11"/>
      <c r="S16" s="11"/>
      <c r="T16" s="11"/>
      <c r="U16" s="10"/>
      <c r="X16" s="2"/>
      <c r="Y16" s="2"/>
      <c r="Z16" s="2"/>
      <c r="AA16" s="9"/>
      <c r="AB16" s="8"/>
      <c r="AC16" s="8"/>
      <c r="AD16" s="8"/>
      <c r="AE16" s="5"/>
    </row>
    <row r="17" spans="1:31" ht="15.6" hidden="1" customHeight="1">
      <c r="A17" s="177" t="s">
        <v>39</v>
      </c>
      <c r="B17" s="178"/>
      <c r="C17" s="57"/>
      <c r="D17" s="31"/>
      <c r="E17" s="179"/>
      <c r="F17" s="180" t="str">
        <f>'P-T Over Cap'!F42</f>
        <v>Yes</v>
      </c>
      <c r="G17" s="11"/>
      <c r="H17" s="11"/>
      <c r="I17" s="11"/>
      <c r="J17" s="13"/>
      <c r="K17" s="12"/>
      <c r="L17" s="10"/>
      <c r="M17" s="11"/>
      <c r="N17" s="11"/>
      <c r="O17" s="11"/>
      <c r="P17" s="11"/>
      <c r="Q17" s="11"/>
      <c r="R17" s="11"/>
      <c r="S17" s="11"/>
      <c r="T17" s="11"/>
      <c r="U17" s="10"/>
      <c r="X17" s="2"/>
      <c r="Y17" s="2"/>
      <c r="Z17" s="2"/>
      <c r="AA17" s="9"/>
      <c r="AB17" s="8"/>
      <c r="AC17" s="8"/>
      <c r="AD17" s="8"/>
      <c r="AE17" s="5"/>
    </row>
    <row r="18" spans="1:31" ht="15.6" hidden="1" customHeight="1">
      <c r="A18" s="181" t="str">
        <f>IF($F$17="Yes", "If Yes, process salary source transactions as indicated above in Section 3 the ''% Eff for Paas''column.  Skip section 5.","If the answer is No, complete section 5.")</f>
        <v>If Yes, process salary source transactions as indicated above in Section 3 the ''% Eff for Paas''column.  Skip section 5.</v>
      </c>
      <c r="B18" s="178"/>
      <c r="C18" s="57"/>
      <c r="D18" s="31"/>
      <c r="E18" s="179"/>
      <c r="F18" s="179"/>
      <c r="G18" s="11"/>
      <c r="H18" s="11"/>
      <c r="I18" s="11"/>
      <c r="J18" s="13"/>
      <c r="K18" s="12"/>
      <c r="L18" s="10"/>
      <c r="M18" s="11"/>
      <c r="N18" s="11"/>
      <c r="O18" s="11"/>
      <c r="P18" s="11"/>
      <c r="Q18" s="11"/>
      <c r="R18" s="11"/>
      <c r="S18" s="11"/>
      <c r="T18" s="11"/>
      <c r="U18" s="10"/>
      <c r="X18" s="2"/>
      <c r="Y18" s="2"/>
      <c r="Z18" s="2"/>
      <c r="AA18" s="9"/>
      <c r="AB18" s="8"/>
      <c r="AC18" s="8"/>
      <c r="AD18" s="8"/>
      <c r="AE18" s="5"/>
    </row>
    <row r="19" spans="1:31" ht="15.9" customHeight="1">
      <c r="A19" s="201" t="s">
        <v>51</v>
      </c>
      <c r="B19" s="128"/>
      <c r="C19" s="57"/>
      <c r="D19" s="31"/>
      <c r="E19" s="57"/>
      <c r="F19" s="204"/>
      <c r="G19" s="11"/>
      <c r="I19" s="11"/>
      <c r="J19" s="13"/>
      <c r="K19" s="12"/>
      <c r="L19" s="10"/>
      <c r="M19" s="11"/>
      <c r="N19" s="11"/>
      <c r="O19" s="11"/>
      <c r="P19" s="11"/>
      <c r="Q19" s="11"/>
      <c r="R19" s="11"/>
      <c r="S19" s="11"/>
      <c r="T19" s="11"/>
      <c r="U19" s="10"/>
      <c r="V19" s="2"/>
      <c r="W19" s="2"/>
      <c r="X19" s="2"/>
      <c r="Y19" s="2"/>
      <c r="Z19" s="2"/>
      <c r="AA19" s="9"/>
      <c r="AB19" s="8"/>
      <c r="AC19" s="8"/>
      <c r="AD19" s="8"/>
      <c r="AE19" s="5"/>
    </row>
    <row r="20" spans="1:31" ht="16.2">
      <c r="A20" s="202" t="s">
        <v>48</v>
      </c>
      <c r="B20" s="178"/>
      <c r="C20" s="57"/>
      <c r="D20" s="31"/>
      <c r="E20" s="179"/>
      <c r="F20" s="204"/>
      <c r="G20" s="11"/>
      <c r="I20" s="11"/>
      <c r="J20" s="13"/>
      <c r="K20" s="12"/>
      <c r="L20" s="10"/>
      <c r="M20" s="11"/>
      <c r="N20" s="11"/>
      <c r="O20" s="11"/>
      <c r="P20" s="11"/>
      <c r="Q20" s="11"/>
      <c r="R20" s="11"/>
      <c r="S20" s="11"/>
      <c r="T20" s="11"/>
      <c r="U20" s="10"/>
      <c r="V20" s="2"/>
      <c r="W20" s="2"/>
      <c r="X20" s="2"/>
      <c r="Y20" s="2"/>
      <c r="Z20" s="2"/>
      <c r="AA20" s="9"/>
      <c r="AB20" s="8"/>
      <c r="AC20" s="8"/>
      <c r="AD20" s="8"/>
      <c r="AE20" s="5"/>
    </row>
    <row r="21" spans="1:31" ht="15.6" customHeight="1">
      <c r="A21" s="248" t="s">
        <v>11</v>
      </c>
      <c r="B21" s="248" t="s">
        <v>46</v>
      </c>
      <c r="C21" s="129" t="s">
        <v>47</v>
      </c>
      <c r="D21" s="130" t="s">
        <v>10</v>
      </c>
      <c r="E21" s="182" t="str">
        <f>IF($F$17="No", "Sal Charged", " ")</f>
        <v xml:space="preserve"> </v>
      </c>
      <c r="F21" s="146" t="str">
        <f>IF($F$17="No", "% Effort for PaaS", " ")</f>
        <v xml:space="preserve"> </v>
      </c>
      <c r="G21" s="2"/>
      <c r="H21" s="14"/>
      <c r="I21" s="11"/>
      <c r="K21" s="12"/>
      <c r="L21" s="10"/>
      <c r="M21" s="11"/>
      <c r="N21" s="11"/>
      <c r="O21" s="11"/>
      <c r="P21" s="11"/>
      <c r="Q21" s="11"/>
      <c r="R21" s="11"/>
      <c r="S21" s="11"/>
      <c r="T21" s="11"/>
      <c r="U21" s="10"/>
      <c r="V21" s="2"/>
      <c r="W21" s="2"/>
      <c r="X21" s="2"/>
      <c r="Y21" s="2"/>
      <c r="Z21" s="2"/>
      <c r="AA21" s="9"/>
      <c r="AB21" s="8"/>
      <c r="AC21" s="8"/>
      <c r="AD21" s="8"/>
      <c r="AE21" s="5"/>
    </row>
    <row r="22" spans="1:31" ht="15.9" customHeight="1">
      <c r="A22" s="237">
        <f>IF($F$17="No",  'P-T Over Cap'!A48, 0)</f>
        <v>0</v>
      </c>
      <c r="B22" s="238">
        <f>IF($F$17="No",  'P-T Over Cap'!B48, 0)</f>
        <v>0</v>
      </c>
      <c r="C22" s="238">
        <f>IF($F$17="No",  'P-T Over Cap'!C48, 0)</f>
        <v>0</v>
      </c>
      <c r="D22" s="239">
        <f>IF($F$17="No",  'P-T Over Cap'!D48, 0)</f>
        <v>0</v>
      </c>
      <c r="E22" s="245" t="str">
        <f>IF($F$17="No",  'P-T Over Cap'!E48, " ")</f>
        <v xml:space="preserve"> </v>
      </c>
      <c r="F22" s="243">
        <f>IF($F$17="No",  'P-T Over Cap'!F48, 0)</f>
        <v>0</v>
      </c>
      <c r="G22" s="27"/>
      <c r="I22" s="11"/>
      <c r="K22" s="10"/>
      <c r="L22" s="2"/>
      <c r="M22" s="11"/>
      <c r="N22" s="11"/>
      <c r="O22" s="11"/>
      <c r="P22" s="11"/>
      <c r="Q22" s="11"/>
      <c r="R22" s="11"/>
      <c r="S22" s="11"/>
      <c r="T22" s="11"/>
      <c r="U22" s="10"/>
      <c r="V22" s="2"/>
      <c r="W22" s="9"/>
      <c r="X22" s="2"/>
      <c r="Y22" s="2"/>
      <c r="Z22" s="2"/>
      <c r="AA22" s="9"/>
      <c r="AB22" s="8"/>
      <c r="AC22" s="8"/>
      <c r="AD22" s="8"/>
      <c r="AE22" s="5"/>
    </row>
    <row r="23" spans="1:31" ht="15.9" customHeight="1">
      <c r="A23" s="237">
        <f>IF($F$17="No",  'P-T Over Cap'!A49, 0)</f>
        <v>0</v>
      </c>
      <c r="B23" s="238">
        <f>IF($F$17="No",  'P-T Over Cap'!B49, 0)</f>
        <v>0</v>
      </c>
      <c r="C23" s="238">
        <f>IF($F$17="No",  'P-T Over Cap'!C49, 0)</f>
        <v>0</v>
      </c>
      <c r="D23" s="239">
        <f>IF($F$17="No",  'P-T Over Cap'!D49, 0)</f>
        <v>0</v>
      </c>
      <c r="E23" s="245" t="str">
        <f>IF($F$17="No",  'P-T Over Cap'!E49, " ")</f>
        <v xml:space="preserve"> </v>
      </c>
      <c r="F23" s="243">
        <f>IF($F$17="No",  'P-T Over Cap'!F49, 0)</f>
        <v>0</v>
      </c>
      <c r="G23" s="16"/>
      <c r="H23" s="16"/>
      <c r="I23" s="11"/>
      <c r="K23" s="10"/>
      <c r="L23" s="2"/>
      <c r="M23" s="11"/>
      <c r="N23" s="11"/>
      <c r="O23" s="11"/>
      <c r="P23" s="11"/>
      <c r="Q23" s="11"/>
      <c r="R23" s="11"/>
      <c r="S23" s="11"/>
      <c r="T23" s="11"/>
      <c r="U23" s="10"/>
      <c r="V23" s="2"/>
      <c r="W23" s="9"/>
      <c r="X23" s="2"/>
      <c r="Y23" s="2"/>
      <c r="Z23" s="2"/>
      <c r="AA23" s="9"/>
      <c r="AB23" s="8"/>
      <c r="AC23" s="8"/>
      <c r="AD23" s="8"/>
      <c r="AE23" s="5"/>
    </row>
    <row r="24" spans="1:31" ht="15.9" customHeight="1">
      <c r="A24" s="237">
        <f>IF($F$17="No",  'P-T Over Cap'!A50, 0)</f>
        <v>0</v>
      </c>
      <c r="B24" s="238">
        <f>IF($F$17="No",  'P-T Over Cap'!B50, 0)</f>
        <v>0</v>
      </c>
      <c r="C24" s="238">
        <f>IF($F$17="No",  'P-T Over Cap'!C50, 0)</f>
        <v>0</v>
      </c>
      <c r="D24" s="239">
        <f>IF($F$17="No",  'P-T Over Cap'!D50, 0)</f>
        <v>0</v>
      </c>
      <c r="E24" s="245" t="str">
        <f>IF($F$17="No",  'P-T Over Cap'!E50, " ")</f>
        <v xml:space="preserve"> </v>
      </c>
      <c r="F24" s="243">
        <f>IF($F$17="No",  'P-T Over Cap'!F50, 0)</f>
        <v>0</v>
      </c>
      <c r="G24" s="25"/>
      <c r="I24" s="11"/>
      <c r="K24" s="10"/>
      <c r="L24" s="2"/>
      <c r="M24" s="11"/>
      <c r="N24" s="11"/>
      <c r="O24" s="11"/>
      <c r="P24" s="11"/>
      <c r="Q24" s="11"/>
      <c r="R24" s="11"/>
      <c r="S24" s="11"/>
      <c r="T24" s="11"/>
      <c r="U24" s="10"/>
      <c r="V24" s="2"/>
      <c r="W24" s="9"/>
      <c r="X24" s="2"/>
      <c r="Y24" s="2"/>
      <c r="Z24" s="2"/>
      <c r="AA24" s="9"/>
      <c r="AB24" s="8"/>
      <c r="AC24" s="8"/>
      <c r="AD24" s="8"/>
      <c r="AE24" s="5"/>
    </row>
    <row r="25" spans="1:31" ht="15.9" customHeight="1">
      <c r="A25" s="237">
        <f>IF($F$17="No",  'P-T Over Cap'!A51, 0)</f>
        <v>0</v>
      </c>
      <c r="B25" s="238">
        <f>IF($F$17="No",  'P-T Over Cap'!B51, 0)</f>
        <v>0</v>
      </c>
      <c r="C25" s="238">
        <f>IF($F$17="No",  'P-T Over Cap'!C51, 0)</f>
        <v>0</v>
      </c>
      <c r="D25" s="239">
        <f>IF($F$17="No",  'P-T Over Cap'!D51, 0)</f>
        <v>0</v>
      </c>
      <c r="E25" s="245" t="str">
        <f>IF($F$17="No",  'P-T Over Cap'!E51, " ")</f>
        <v xml:space="preserve"> </v>
      </c>
      <c r="F25" s="243">
        <f>IF($F$17="No",  'P-T Over Cap'!F51, 0)</f>
        <v>0</v>
      </c>
      <c r="G25" s="25"/>
      <c r="I25" s="11"/>
      <c r="K25" s="10"/>
      <c r="L25" s="2"/>
      <c r="M25" s="11"/>
      <c r="N25" s="11"/>
      <c r="O25" s="11"/>
      <c r="P25" s="11"/>
      <c r="Q25" s="11"/>
      <c r="R25" s="11"/>
      <c r="S25" s="11"/>
      <c r="T25" s="11"/>
      <c r="U25" s="10"/>
      <c r="V25" s="2"/>
      <c r="W25" s="9"/>
      <c r="X25" s="2"/>
      <c r="Y25" s="2"/>
      <c r="Z25" s="2"/>
      <c r="AA25" s="9"/>
      <c r="AB25" s="8"/>
      <c r="AC25" s="8"/>
      <c r="AD25" s="8"/>
      <c r="AE25" s="5"/>
    </row>
    <row r="26" spans="1:31" ht="15.9" customHeight="1">
      <c r="A26" s="237">
        <f>IF($F$17="No",  'P-T Over Cap'!A52, 0)</f>
        <v>0</v>
      </c>
      <c r="B26" s="238">
        <f>IF($F$17="No",  'P-T Over Cap'!B52, 0)</f>
        <v>0</v>
      </c>
      <c r="C26" s="238">
        <f>IF($F$17="No",  'P-T Over Cap'!C52, 0)</f>
        <v>0</v>
      </c>
      <c r="D26" s="239">
        <f>IF($F$17="No",  'P-T Over Cap'!D52, 0)</f>
        <v>0</v>
      </c>
      <c r="E26" s="245" t="str">
        <f>IF($F$17="No",  'P-T Over Cap'!E52, " ")</f>
        <v xml:space="preserve"> </v>
      </c>
      <c r="F26" s="243">
        <f>IF($F$17="No",  'P-T Over Cap'!F52, 0)</f>
        <v>0</v>
      </c>
      <c r="G26" s="16"/>
      <c r="I26" s="11"/>
      <c r="K26" s="10"/>
      <c r="L26" s="2"/>
      <c r="M26" s="11"/>
      <c r="N26" s="11"/>
      <c r="O26" s="11"/>
      <c r="P26" s="11"/>
      <c r="Q26" s="11"/>
      <c r="R26" s="11"/>
      <c r="S26" s="11"/>
      <c r="T26" s="11"/>
      <c r="U26" s="10"/>
      <c r="V26" s="2"/>
      <c r="W26" s="9"/>
      <c r="X26" s="2"/>
      <c r="Y26" s="2"/>
      <c r="Z26" s="2"/>
      <c r="AA26" s="9"/>
      <c r="AB26" s="8"/>
      <c r="AC26" s="8"/>
      <c r="AD26" s="8"/>
      <c r="AE26" s="5"/>
    </row>
    <row r="27" spans="1:31" ht="15.9" customHeight="1">
      <c r="A27" s="237">
        <f>IF($F$17="No",  'P-T Over Cap'!A53, 0)</f>
        <v>0</v>
      </c>
      <c r="B27" s="238">
        <f>IF($F$17="No",  'P-T Over Cap'!B53, 0)</f>
        <v>0</v>
      </c>
      <c r="C27" s="238">
        <f>IF($F$17="No",  'P-T Over Cap'!C53, 0)</f>
        <v>0</v>
      </c>
      <c r="D27" s="239">
        <f>IF($F$17="No",  'P-T Over Cap'!D53, 0)</f>
        <v>0</v>
      </c>
      <c r="E27" s="245" t="str">
        <f>IF($F$17="No",  'P-T Over Cap'!E53, " ")</f>
        <v xml:space="preserve"> </v>
      </c>
      <c r="F27" s="243">
        <f>IF($F$17="No",  'P-T Over Cap'!F53, 0)</f>
        <v>0</v>
      </c>
      <c r="G27" s="16"/>
      <c r="I27" s="11"/>
      <c r="K27" s="11"/>
      <c r="L27" s="2"/>
      <c r="M27" s="11"/>
      <c r="N27" s="11"/>
      <c r="O27" s="11"/>
      <c r="P27" s="11"/>
      <c r="Q27" s="11"/>
      <c r="R27" s="11"/>
      <c r="S27" s="11"/>
      <c r="T27" s="11"/>
      <c r="U27" s="10"/>
      <c r="V27" s="2"/>
      <c r="W27" s="9"/>
      <c r="X27" s="2"/>
      <c r="Y27" s="2"/>
      <c r="Z27" s="2"/>
      <c r="AA27" s="9"/>
      <c r="AB27" s="8"/>
      <c r="AC27" s="8"/>
      <c r="AD27" s="8"/>
      <c r="AE27" s="5"/>
    </row>
    <row r="28" spans="1:31" ht="15.9" customHeight="1">
      <c r="A28" s="237">
        <f>IF($F$17="No",  'P-T Over Cap'!A54, 0)</f>
        <v>0</v>
      </c>
      <c r="B28" s="238">
        <f>IF($F$17="No",  'P-T Over Cap'!B54, 0)</f>
        <v>0</v>
      </c>
      <c r="C28" s="238">
        <f>IF($F$17="No",  'P-T Over Cap'!C54, 0)</f>
        <v>0</v>
      </c>
      <c r="D28" s="239">
        <f>IF($F$17="No",  'P-T Over Cap'!D54, 0)</f>
        <v>0</v>
      </c>
      <c r="E28" s="245" t="str">
        <f>IF($F$17="No",  'P-T Over Cap'!E54, " ")</f>
        <v xml:space="preserve"> </v>
      </c>
      <c r="F28" s="243">
        <f>IF($F$17="No",  'P-T Over Cap'!F54, 0)</f>
        <v>0</v>
      </c>
      <c r="G28" s="16"/>
      <c r="I28" s="11"/>
      <c r="K28" s="11"/>
      <c r="L28" s="2"/>
      <c r="M28" s="11"/>
      <c r="N28" s="11"/>
      <c r="O28" s="11"/>
      <c r="P28" s="11"/>
      <c r="Q28" s="11"/>
      <c r="R28" s="11"/>
      <c r="S28" s="11"/>
      <c r="T28" s="11"/>
      <c r="U28" s="22"/>
      <c r="V28" s="2"/>
      <c r="W28" s="9"/>
      <c r="X28" s="2"/>
      <c r="Y28" s="15"/>
      <c r="Z28" s="2"/>
      <c r="AA28" s="9"/>
      <c r="AB28" s="8"/>
      <c r="AC28" s="8"/>
      <c r="AD28" s="8"/>
      <c r="AE28" s="5"/>
    </row>
    <row r="29" spans="1:31" ht="15.9" customHeight="1">
      <c r="A29" s="237">
        <f>IF($F$17="No",  'P-T Over Cap'!A55, 0)</f>
        <v>0</v>
      </c>
      <c r="B29" s="238">
        <f>IF($F$17="No",  'P-T Over Cap'!B55, 0)</f>
        <v>0</v>
      </c>
      <c r="C29" s="238">
        <f>IF($F$17="No",  'P-T Over Cap'!C55, 0)</f>
        <v>0</v>
      </c>
      <c r="D29" s="239">
        <f>IF($F$17="No",  'P-T Over Cap'!D55, 0)</f>
        <v>0</v>
      </c>
      <c r="E29" s="245" t="str">
        <f>IF($F$17="No",  'P-T Over Cap'!E55, " ")</f>
        <v xml:space="preserve"> </v>
      </c>
      <c r="F29" s="243">
        <f>IF($F$17="No",  'P-T Over Cap'!F55, 0)</f>
        <v>0</v>
      </c>
      <c r="G29" s="16"/>
      <c r="I29" s="11"/>
      <c r="K29" s="11"/>
      <c r="L29" s="2"/>
      <c r="M29" s="11"/>
      <c r="N29" s="11"/>
      <c r="O29" s="11"/>
      <c r="P29" s="11"/>
      <c r="Q29" s="11"/>
      <c r="R29" s="11"/>
      <c r="S29" s="11"/>
      <c r="T29" s="11"/>
      <c r="U29" s="22"/>
      <c r="V29" s="15"/>
      <c r="W29" s="2"/>
      <c r="X29" s="2"/>
      <c r="Y29" s="15"/>
      <c r="Z29" s="2"/>
      <c r="AA29" s="9"/>
      <c r="AB29" s="8"/>
      <c r="AC29" s="8"/>
      <c r="AD29" s="8"/>
      <c r="AE29" s="5"/>
    </row>
    <row r="30" spans="1:31" ht="15.9" customHeight="1">
      <c r="A30" s="237">
        <f>IF($F$17="No",  'P-T Over Cap'!A56, 0)</f>
        <v>0</v>
      </c>
      <c r="B30" s="238">
        <f>IF($F$17="No",  'P-T Over Cap'!B56, 0)</f>
        <v>0</v>
      </c>
      <c r="C30" s="240">
        <f>IF($F$17="No",  'P-T Over Cap'!C56, 0)</f>
        <v>0</v>
      </c>
      <c r="D30" s="241">
        <f>IF($F$17="No",  'P-T Over Cap'!D56, 0)</f>
        <v>0</v>
      </c>
      <c r="E30" s="246" t="str">
        <f>IF($F$17="No",  'P-T Over Cap'!E56, " ")</f>
        <v xml:space="preserve"> </v>
      </c>
      <c r="F30" s="244">
        <f>IF($F$17="No",  'P-T Over Cap'!F56, 0)</f>
        <v>0</v>
      </c>
      <c r="G30" s="16"/>
      <c r="I30" s="11"/>
      <c r="K30" s="11"/>
      <c r="L30" s="2"/>
      <c r="M30" s="11"/>
      <c r="N30" s="11"/>
      <c r="O30" s="11"/>
      <c r="P30" s="11"/>
      <c r="Q30" s="11"/>
      <c r="R30" s="11"/>
      <c r="S30" s="11"/>
      <c r="T30" s="11"/>
      <c r="U30" s="22"/>
      <c r="V30" s="15"/>
      <c r="W30" s="2"/>
      <c r="X30" s="2"/>
      <c r="Y30" s="15"/>
      <c r="Z30" s="2"/>
      <c r="AA30" s="9"/>
      <c r="AB30" s="8"/>
      <c r="AC30" s="8"/>
      <c r="AD30" s="8"/>
      <c r="AE30" s="5"/>
    </row>
    <row r="31" spans="1:31" ht="15.9" customHeight="1">
      <c r="A31" s="134" t="s">
        <v>59</v>
      </c>
      <c r="B31" s="99"/>
      <c r="C31" s="183">
        <f>SUM(C22:C30)</f>
        <v>0</v>
      </c>
      <c r="D31" s="185">
        <f t="shared" ref="D31:F31" si="0">SUM(D22:D30)</f>
        <v>0</v>
      </c>
      <c r="E31" s="184">
        <f t="shared" si="0"/>
        <v>0</v>
      </c>
      <c r="F31" s="185">
        <f t="shared" si="0"/>
        <v>0</v>
      </c>
      <c r="G31" s="16"/>
      <c r="I31" s="11"/>
      <c r="K31" s="11"/>
      <c r="L31" s="2"/>
      <c r="M31" s="11"/>
      <c r="N31" s="11"/>
      <c r="O31" s="11"/>
      <c r="P31" s="11"/>
      <c r="Q31" s="11"/>
      <c r="R31" s="11"/>
      <c r="S31" s="11"/>
      <c r="T31" s="11"/>
      <c r="U31" s="22"/>
      <c r="V31" s="15"/>
      <c r="W31" s="2"/>
      <c r="X31" s="2"/>
      <c r="Y31" s="15"/>
      <c r="Z31" s="2"/>
      <c r="AA31" s="9"/>
      <c r="AB31" s="8"/>
      <c r="AC31" s="8"/>
      <c r="AD31" s="8"/>
      <c r="AE31" s="5"/>
    </row>
    <row r="32" spans="1:31" ht="15.9" customHeight="1" thickBot="1">
      <c r="A32" s="110" t="s">
        <v>57</v>
      </c>
      <c r="B32" s="111"/>
      <c r="C32" s="112"/>
      <c r="D32" s="113"/>
      <c r="E32" s="114"/>
      <c r="F32" s="115"/>
      <c r="G32" s="19"/>
      <c r="H32" s="19"/>
      <c r="I32" s="36"/>
      <c r="J32" s="13"/>
      <c r="K32" s="12"/>
      <c r="L32" s="32"/>
      <c r="M32" s="32"/>
      <c r="N32" s="32"/>
      <c r="O32" s="32"/>
      <c r="P32" s="32"/>
      <c r="Q32" s="32"/>
      <c r="R32" s="32"/>
      <c r="S32" s="32"/>
      <c r="T32" s="32"/>
      <c r="V32" s="35"/>
      <c r="W32" s="32"/>
      <c r="X32" s="15"/>
      <c r="Y32" s="35"/>
      <c r="Z32" s="2"/>
      <c r="AA32" s="9"/>
      <c r="AB32" s="2"/>
      <c r="AC32" s="2"/>
      <c r="AD32" s="2"/>
      <c r="AE32" s="2"/>
    </row>
    <row r="33" spans="1:31" ht="15.9" customHeight="1">
      <c r="A33" s="37" t="s">
        <v>26</v>
      </c>
      <c r="B33" s="247" t="s">
        <v>0</v>
      </c>
      <c r="C33" s="279" t="s">
        <v>90</v>
      </c>
      <c r="D33" s="280" t="str">
        <f>IF(C33="-", "-", C33/$F$15)</f>
        <v>-</v>
      </c>
      <c r="E33" s="281" t="str">
        <f>IF(C33="-","-",IF($F$17="No",F33*$B$10,0))</f>
        <v>-</v>
      </c>
      <c r="F33" s="275" t="str">
        <f>IF(C33="-","-",IF(B33="No",D33,D33*$F$55))</f>
        <v>-</v>
      </c>
      <c r="G33" s="11"/>
      <c r="I33" s="11"/>
      <c r="K33" s="11"/>
      <c r="L33" s="10"/>
      <c r="M33" s="11"/>
      <c r="N33" s="11"/>
      <c r="O33" s="11"/>
      <c r="P33" s="11"/>
      <c r="Q33" s="11"/>
      <c r="R33" s="11"/>
      <c r="S33" s="11"/>
      <c r="T33" s="11"/>
      <c r="U33" s="22"/>
      <c r="V33" s="15"/>
      <c r="W33" s="2"/>
      <c r="X33" s="2"/>
      <c r="Y33" s="15"/>
      <c r="Z33" s="2"/>
      <c r="AA33" s="9"/>
      <c r="AB33" s="8"/>
      <c r="AC33" s="8"/>
      <c r="AD33" s="8"/>
      <c r="AE33" s="5"/>
    </row>
    <row r="34" spans="1:31" ht="15.9" customHeight="1">
      <c r="A34" s="37" t="s">
        <v>25</v>
      </c>
      <c r="B34" s="247" t="s">
        <v>0</v>
      </c>
      <c r="C34" s="279" t="s">
        <v>90</v>
      </c>
      <c r="D34" s="280" t="str">
        <f t="shared" ref="D34:D43" si="1">IF(C34="-", "-", C34/$F$15)</f>
        <v>-</v>
      </c>
      <c r="E34" s="281" t="str">
        <f t="shared" ref="E34:E43" si="2">IF(C34="-","-",IF($F$17="No",F34*$B$10,0))</f>
        <v>-</v>
      </c>
      <c r="F34" s="275" t="str">
        <f t="shared" ref="F34:F43" si="3">IF(C34="-","-",IF(B34="No",D34,D34*$F$55))</f>
        <v>-</v>
      </c>
      <c r="G34" s="18"/>
      <c r="H34" s="1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5"/>
      <c r="W34" s="2"/>
      <c r="X34" s="2"/>
      <c r="Y34" s="15"/>
      <c r="Z34" s="2"/>
      <c r="AA34" s="2"/>
      <c r="AB34" s="5"/>
      <c r="AC34" s="5"/>
      <c r="AD34" s="5"/>
      <c r="AE34" s="5"/>
    </row>
    <row r="35" spans="1:31" s="2" customFormat="1" ht="15.9" customHeight="1">
      <c r="A35" s="37" t="s">
        <v>24</v>
      </c>
      <c r="B35" s="247" t="s">
        <v>0</v>
      </c>
      <c r="C35" s="279" t="s">
        <v>90</v>
      </c>
      <c r="D35" s="280" t="str">
        <f t="shared" si="1"/>
        <v>-</v>
      </c>
      <c r="E35" s="281" t="str">
        <f t="shared" si="2"/>
        <v>-</v>
      </c>
      <c r="F35" s="275" t="str">
        <f t="shared" si="3"/>
        <v>-</v>
      </c>
      <c r="V35" s="15"/>
      <c r="AB35" s="8"/>
      <c r="AC35" s="8"/>
      <c r="AD35" s="8"/>
      <c r="AE35" s="8"/>
    </row>
    <row r="36" spans="1:31" s="2" customFormat="1" ht="15.9" customHeight="1">
      <c r="A36" s="37" t="s">
        <v>22</v>
      </c>
      <c r="B36" s="247" t="s">
        <v>1</v>
      </c>
      <c r="C36" s="279" t="s">
        <v>90</v>
      </c>
      <c r="D36" s="280" t="str">
        <f t="shared" si="1"/>
        <v>-</v>
      </c>
      <c r="E36" s="281" t="str">
        <f t="shared" si="2"/>
        <v>-</v>
      </c>
      <c r="F36" s="275" t="str">
        <f t="shared" si="3"/>
        <v>-</v>
      </c>
      <c r="G36" s="8"/>
      <c r="V36" s="15"/>
      <c r="AB36" s="8"/>
      <c r="AC36" s="8"/>
      <c r="AD36" s="8"/>
      <c r="AE36" s="8"/>
    </row>
    <row r="37" spans="1:31" s="2" customFormat="1" ht="15.9" customHeight="1">
      <c r="A37" s="37" t="s">
        <v>20</v>
      </c>
      <c r="B37" s="247" t="s">
        <v>1</v>
      </c>
      <c r="C37" s="279" t="s">
        <v>90</v>
      </c>
      <c r="D37" s="280" t="str">
        <f t="shared" si="1"/>
        <v>-</v>
      </c>
      <c r="E37" s="281" t="str">
        <f t="shared" si="2"/>
        <v>-</v>
      </c>
      <c r="F37" s="275" t="str">
        <f t="shared" si="3"/>
        <v>-</v>
      </c>
      <c r="V37" s="15"/>
      <c r="AB37" s="8"/>
      <c r="AC37" s="8"/>
      <c r="AD37" s="8"/>
      <c r="AE37" s="8"/>
    </row>
    <row r="38" spans="1:31" s="2" customFormat="1" ht="15.9" customHeight="1">
      <c r="A38" s="37" t="s">
        <v>19</v>
      </c>
      <c r="B38" s="247" t="s">
        <v>1</v>
      </c>
      <c r="C38" s="279" t="s">
        <v>90</v>
      </c>
      <c r="D38" s="280" t="str">
        <f t="shared" si="1"/>
        <v>-</v>
      </c>
      <c r="E38" s="281" t="str">
        <f t="shared" si="2"/>
        <v>-</v>
      </c>
      <c r="F38" s="275" t="str">
        <f t="shared" si="3"/>
        <v>-</v>
      </c>
      <c r="V38" s="15"/>
      <c r="AB38" s="8"/>
      <c r="AC38" s="8"/>
      <c r="AD38" s="8"/>
      <c r="AE38" s="8"/>
    </row>
    <row r="39" spans="1:31" s="2" customFormat="1">
      <c r="A39" s="37" t="s">
        <v>17</v>
      </c>
      <c r="B39" s="247" t="s">
        <v>1</v>
      </c>
      <c r="C39" s="279" t="s">
        <v>90</v>
      </c>
      <c r="D39" s="280" t="str">
        <f t="shared" si="1"/>
        <v>-</v>
      </c>
      <c r="E39" s="281" t="str">
        <f t="shared" si="2"/>
        <v>-</v>
      </c>
      <c r="F39" s="275" t="str">
        <f t="shared" si="3"/>
        <v>-</v>
      </c>
      <c r="H39" s="59"/>
      <c r="V39" s="15"/>
      <c r="AB39" s="8"/>
      <c r="AC39" s="8"/>
      <c r="AD39" s="8"/>
      <c r="AE39" s="8"/>
    </row>
    <row r="40" spans="1:31" s="2" customFormat="1">
      <c r="A40" s="37" t="s">
        <v>16</v>
      </c>
      <c r="B40" s="247" t="s">
        <v>1</v>
      </c>
      <c r="C40" s="279" t="s">
        <v>90</v>
      </c>
      <c r="D40" s="280" t="str">
        <f t="shared" si="1"/>
        <v>-</v>
      </c>
      <c r="E40" s="281" t="str">
        <f t="shared" si="2"/>
        <v>-</v>
      </c>
      <c r="F40" s="275" t="str">
        <f t="shared" si="3"/>
        <v>-</v>
      </c>
      <c r="G40" s="10"/>
      <c r="H40" s="10"/>
      <c r="I40" s="10"/>
      <c r="J40" s="13"/>
      <c r="K40" s="12"/>
      <c r="L40" s="10"/>
      <c r="M40" s="10"/>
      <c r="N40" s="10"/>
      <c r="O40" s="10"/>
      <c r="P40" s="10"/>
      <c r="Q40" s="10"/>
      <c r="R40" s="10"/>
      <c r="S40" s="10"/>
      <c r="T40" s="10"/>
      <c r="U40" s="10"/>
      <c r="X40" s="9"/>
      <c r="AA40" s="9"/>
      <c r="AB40" s="8"/>
      <c r="AC40" s="8"/>
      <c r="AD40" s="8"/>
      <c r="AE40" s="8"/>
    </row>
    <row r="41" spans="1:31" s="2" customFormat="1" ht="15.9" customHeight="1">
      <c r="A41" s="37" t="s">
        <v>15</v>
      </c>
      <c r="B41" s="247" t="s">
        <v>1</v>
      </c>
      <c r="C41" s="279" t="s">
        <v>90</v>
      </c>
      <c r="D41" s="280" t="str">
        <f t="shared" si="1"/>
        <v>-</v>
      </c>
      <c r="E41" s="281" t="str">
        <f t="shared" si="2"/>
        <v>-</v>
      </c>
      <c r="F41" s="275" t="str">
        <f t="shared" si="3"/>
        <v>-</v>
      </c>
      <c r="J41" s="7"/>
      <c r="AB41" s="8"/>
      <c r="AC41" s="8"/>
      <c r="AD41" s="8"/>
      <c r="AE41" s="8"/>
    </row>
    <row r="42" spans="1:31" s="2" customFormat="1" ht="15.9" customHeight="1">
      <c r="A42" s="37" t="s">
        <v>55</v>
      </c>
      <c r="B42" s="247" t="s">
        <v>1</v>
      </c>
      <c r="C42" s="279" t="s">
        <v>90</v>
      </c>
      <c r="D42" s="280" t="str">
        <f t="shared" si="1"/>
        <v>-</v>
      </c>
      <c r="E42" s="281" t="str">
        <f t="shared" si="2"/>
        <v>-</v>
      </c>
      <c r="F42" s="275" t="str">
        <f t="shared" si="3"/>
        <v>-</v>
      </c>
    </row>
    <row r="43" spans="1:31" s="2" customFormat="1" ht="15.9" customHeight="1">
      <c r="A43" s="105" t="s">
        <v>56</v>
      </c>
      <c r="B43" s="247" t="s">
        <v>1</v>
      </c>
      <c r="C43" s="279" t="s">
        <v>90</v>
      </c>
      <c r="D43" s="280" t="str">
        <f t="shared" si="1"/>
        <v>-</v>
      </c>
      <c r="E43" s="281" t="str">
        <f t="shared" si="2"/>
        <v>-</v>
      </c>
      <c r="F43" s="275" t="str">
        <f t="shared" si="3"/>
        <v>-</v>
      </c>
      <c r="AB43" s="8"/>
      <c r="AC43" s="8"/>
      <c r="AD43" s="8"/>
      <c r="AE43" s="8"/>
    </row>
    <row r="44" spans="1:31" s="2" customFormat="1" ht="15.9" customHeight="1">
      <c r="A44" s="145" t="s">
        <v>54</v>
      </c>
      <c r="B44" s="150"/>
      <c r="C44" s="148">
        <f>SUM(C33:C43)</f>
        <v>0</v>
      </c>
      <c r="D44" s="141">
        <f>SUM(D33:D43)</f>
        <v>0</v>
      </c>
      <c r="E44" s="140">
        <f>SUM(E33:E43)</f>
        <v>0</v>
      </c>
      <c r="F44" s="141">
        <f>SUM(F33:F43)</f>
        <v>0</v>
      </c>
      <c r="AB44" s="8"/>
      <c r="AC44" s="8"/>
      <c r="AD44" s="8"/>
      <c r="AE44" s="8"/>
    </row>
    <row r="45" spans="1:31" s="2" customFormat="1" ht="15.9" customHeight="1" thickBot="1">
      <c r="A45" s="269"/>
      <c r="B45" s="269"/>
      <c r="C45" s="269"/>
      <c r="D45" s="269"/>
      <c r="E45" s="269"/>
      <c r="F45" s="269"/>
      <c r="AB45" s="8"/>
      <c r="AC45" s="8"/>
      <c r="AD45" s="8"/>
      <c r="AE45" s="8"/>
    </row>
    <row r="46" spans="1:31" s="2" customFormat="1" ht="15.9" customHeight="1">
      <c r="A46" s="128" t="s">
        <v>73</v>
      </c>
      <c r="B46" s="206"/>
      <c r="C46" s="148">
        <f>C31+C44</f>
        <v>0</v>
      </c>
      <c r="D46" s="141">
        <f>D31+D44</f>
        <v>0</v>
      </c>
      <c r="E46" s="249">
        <f t="shared" ref="E46:F46" si="4">E31+E44</f>
        <v>0</v>
      </c>
      <c r="F46" s="138">
        <f t="shared" si="4"/>
        <v>0</v>
      </c>
      <c r="AB46" s="8"/>
      <c r="AC46" s="8"/>
      <c r="AD46" s="8"/>
      <c r="AE46" s="8"/>
    </row>
    <row r="47" spans="1:31" ht="30" customHeight="1">
      <c r="A47" s="286" t="str">
        <f>IF(AND($D$46&gt;=0.951, $D$46&lt;=1),"Warning! % Effort is Greater Than 95%. You are certifying that all other activities including but not limited to clinical, teaching, administrative &amp; application preparation are included in Cell D48 below. Update CMs above if inaccurate.", IF($D$46&gt;1, "Percent Effort Exceeds 100%. Reduce Effort to 95% or Lower.", ""))</f>
        <v/>
      </c>
      <c r="B47" s="286"/>
      <c r="C47" s="286"/>
      <c r="D47" s="286"/>
      <c r="E47" s="286"/>
      <c r="F47" s="286"/>
      <c r="G47" s="34"/>
      <c r="H47" s="34"/>
      <c r="I47" s="33"/>
      <c r="J47" s="13"/>
      <c r="K47" s="12"/>
      <c r="L47" s="32"/>
      <c r="M47" s="32"/>
      <c r="N47" s="32"/>
      <c r="O47" s="32"/>
      <c r="P47" s="32"/>
      <c r="Q47" s="32"/>
      <c r="R47" s="32"/>
      <c r="S47" s="32"/>
      <c r="T47" s="32"/>
      <c r="V47" s="9"/>
      <c r="W47" s="32"/>
      <c r="X47" s="9"/>
      <c r="Y47" s="9"/>
      <c r="Z47" s="2"/>
      <c r="AA47" s="9"/>
      <c r="AB47" s="2"/>
      <c r="AC47" s="2"/>
      <c r="AD47" s="2"/>
      <c r="AE47" s="2"/>
    </row>
    <row r="48" spans="1:31" ht="15.9" customHeight="1">
      <c r="A48" s="143" t="s">
        <v>13</v>
      </c>
      <c r="B48" s="143"/>
      <c r="C48" s="102">
        <f>F15-C46</f>
        <v>4.8000000000000007</v>
      </c>
      <c r="D48" s="103">
        <f>1-D46</f>
        <v>1</v>
      </c>
      <c r="E48" s="104">
        <f>IF(OR(B22="No", B23="No", B24="No", B25="No",B26="No",B27="No",B28="No",B29="No",B30="No", B33="No", B34="No", B35="No", B36="No",B37="No",B38="No",B39="No",B40="No",B41="No", B42="No", B43="No"),$B$10-E46,$F$13-E46)</f>
        <v>106500</v>
      </c>
      <c r="F48" s="203">
        <f>IF($F17="No", F49-F46, 0)</f>
        <v>0</v>
      </c>
      <c r="G48" s="34"/>
      <c r="H48" s="11"/>
      <c r="I48" s="11"/>
      <c r="J48" s="13"/>
      <c r="K48" s="12"/>
      <c r="L48" s="10"/>
      <c r="M48" s="11"/>
      <c r="N48" s="11"/>
      <c r="O48" s="11"/>
      <c r="P48" s="11"/>
      <c r="Q48" s="11"/>
      <c r="R48" s="11"/>
      <c r="S48" s="11"/>
      <c r="T48" s="11"/>
      <c r="U48" s="10"/>
      <c r="X48" s="9"/>
      <c r="Y48" s="2"/>
      <c r="Z48" s="2"/>
      <c r="AA48" s="9"/>
      <c r="AB48" s="8"/>
      <c r="AC48" s="8"/>
      <c r="AD48" s="8"/>
      <c r="AE48" s="5"/>
    </row>
    <row r="49" spans="1:31" ht="15.9" customHeight="1">
      <c r="A49" s="144" t="s">
        <v>75</v>
      </c>
      <c r="B49" s="145"/>
      <c r="C49" s="69">
        <f>C46+C48</f>
        <v>4.8000000000000007</v>
      </c>
      <c r="D49" s="191">
        <f>D46+D48</f>
        <v>1</v>
      </c>
      <c r="E49" s="70">
        <f>E46+E48</f>
        <v>106500</v>
      </c>
      <c r="F49" s="141">
        <f>IF($F$17="No", 100%, 0)</f>
        <v>0</v>
      </c>
      <c r="G49" s="34"/>
      <c r="H49" s="11"/>
      <c r="I49" s="27"/>
      <c r="J49" s="13"/>
      <c r="K49" s="12"/>
      <c r="L49" s="10"/>
      <c r="M49" s="11"/>
      <c r="N49" s="11"/>
      <c r="O49" s="11"/>
      <c r="P49" s="11"/>
      <c r="Q49" s="11"/>
      <c r="R49" s="11"/>
      <c r="S49" s="11"/>
      <c r="T49" s="11"/>
      <c r="U49" s="10"/>
      <c r="X49" s="9"/>
      <c r="Y49" s="2"/>
      <c r="Z49" s="2"/>
      <c r="AA49" s="9"/>
      <c r="AB49" s="8"/>
      <c r="AC49" s="8"/>
      <c r="AD49" s="8"/>
      <c r="AE49" s="5"/>
    </row>
    <row r="50" spans="1:31" s="2" customFormat="1" ht="15.9" customHeight="1">
      <c r="A50" s="289" t="s">
        <v>68</v>
      </c>
      <c r="B50" s="289"/>
      <c r="C50" s="289"/>
      <c r="D50" s="289"/>
      <c r="E50" s="289"/>
      <c r="F50" s="289"/>
    </row>
    <row r="51" spans="1:31" s="2" customFormat="1" ht="15.9" customHeight="1">
      <c r="D51" s="106"/>
    </row>
    <row r="52" spans="1:31" ht="15.9" hidden="1" customHeight="1">
      <c r="A52" s="20" t="s">
        <v>37</v>
      </c>
      <c r="B52" s="20"/>
      <c r="C52" s="2"/>
      <c r="D52" s="2"/>
      <c r="E52" s="59"/>
      <c r="G52" s="2"/>
      <c r="V52" s="15"/>
      <c r="W52" s="2"/>
      <c r="X52" s="2"/>
      <c r="Y52" s="2"/>
      <c r="Z52" s="2"/>
      <c r="AA52" s="2"/>
      <c r="AB52" s="5"/>
      <c r="AC52" s="5"/>
      <c r="AD52" s="5"/>
      <c r="AE52" s="5"/>
    </row>
    <row r="53" spans="1:31" ht="15.9" hidden="1" customHeight="1">
      <c r="A53" s="149" t="s">
        <v>43</v>
      </c>
      <c r="B53" s="150"/>
      <c r="C53" s="77">
        <f>'P-T Over Cap'!C63</f>
        <v>87231.374999999985</v>
      </c>
      <c r="D53" s="3"/>
      <c r="E53" s="151" t="s">
        <v>44</v>
      </c>
      <c r="F53" s="87">
        <f>'P-T Over Cap'!F63</f>
        <v>84840</v>
      </c>
      <c r="G53" s="2"/>
      <c r="V53" s="15"/>
      <c r="W53" s="2"/>
      <c r="X53" s="2"/>
      <c r="Y53" s="2"/>
      <c r="Z53" s="2"/>
      <c r="AA53" s="2"/>
      <c r="AB53" s="5"/>
      <c r="AC53" s="5"/>
      <c r="AD53" s="5"/>
      <c r="AE53" s="5"/>
    </row>
    <row r="54" spans="1:31" ht="15.9" hidden="1" customHeight="1">
      <c r="A54" s="149" t="s">
        <v>6</v>
      </c>
      <c r="B54" s="150"/>
      <c r="C54" s="78">
        <f>'P-T Over Cap'!C64</f>
        <v>106500</v>
      </c>
      <c r="D54" s="3"/>
      <c r="E54" s="151" t="s">
        <v>45</v>
      </c>
      <c r="F54" s="88">
        <f>'P-T Over Cap'!F64</f>
        <v>106500</v>
      </c>
      <c r="G54" s="2"/>
      <c r="V54" s="15"/>
      <c r="W54" s="2"/>
      <c r="X54" s="2"/>
      <c r="Y54" s="2"/>
      <c r="Z54" s="2"/>
      <c r="AA54" s="2"/>
      <c r="AB54" s="5"/>
      <c r="AC54" s="5"/>
      <c r="AD54" s="5"/>
      <c r="AE54" s="5"/>
    </row>
    <row r="55" spans="1:31" ht="15.9" hidden="1" customHeight="1">
      <c r="A55" s="152" t="s">
        <v>7</v>
      </c>
      <c r="B55" s="153"/>
      <c r="C55" s="76">
        <f>C53/C54</f>
        <v>0.81907394366197173</v>
      </c>
      <c r="D55" s="3"/>
      <c r="E55" s="154" t="s">
        <v>5</v>
      </c>
      <c r="F55" s="89">
        <f>F53/F54</f>
        <v>0.79661971830985912</v>
      </c>
      <c r="G55" s="2"/>
      <c r="V55" s="15"/>
      <c r="W55" s="2"/>
      <c r="X55" s="2"/>
      <c r="Y55" s="2"/>
      <c r="Z55" s="2"/>
      <c r="AA55" s="2"/>
      <c r="AB55" s="5"/>
      <c r="AC55" s="5"/>
      <c r="AD55" s="5"/>
      <c r="AE55" s="5"/>
    </row>
    <row r="56" spans="1:31" ht="30.6" hidden="1" customHeight="1">
      <c r="A56" s="282" t="s">
        <v>49</v>
      </c>
      <c r="B56" s="282"/>
      <c r="C56" s="79">
        <f>'P-T Over Cap'!C66</f>
        <v>0.13092605633802823</v>
      </c>
      <c r="D56" s="9"/>
      <c r="E56" s="59"/>
      <c r="G56" s="2"/>
      <c r="H56" s="16"/>
      <c r="I56" s="2"/>
      <c r="J56" s="2"/>
      <c r="V56" s="15"/>
      <c r="W56" s="2"/>
      <c r="X56" s="2"/>
      <c r="Y56" s="2"/>
      <c r="Z56" s="2"/>
      <c r="AA56" s="2"/>
      <c r="AB56" s="5"/>
      <c r="AC56" s="5"/>
      <c r="AD56" s="5"/>
      <c r="AE56" s="5"/>
    </row>
    <row r="57" spans="1:31" ht="22.95" hidden="1" customHeight="1">
      <c r="A57" s="128"/>
      <c r="B57" s="128"/>
      <c r="C57" s="155">
        <f>C55+C56</f>
        <v>0.95</v>
      </c>
      <c r="D57" s="29"/>
      <c r="E57" s="9"/>
      <c r="F57" s="59"/>
      <c r="G57" s="11"/>
      <c r="H57" s="11"/>
      <c r="I57" s="11"/>
      <c r="J57" s="13"/>
      <c r="K57" s="12"/>
      <c r="L57" s="10"/>
      <c r="M57" s="11"/>
      <c r="N57" s="11"/>
      <c r="O57" s="11"/>
      <c r="P57" s="11"/>
      <c r="Q57" s="11"/>
      <c r="R57" s="11"/>
      <c r="S57" s="11"/>
      <c r="T57" s="11"/>
      <c r="U57" s="10"/>
      <c r="V57" s="2"/>
      <c r="W57" s="2"/>
      <c r="X57" s="9"/>
      <c r="Y57" s="2"/>
      <c r="Z57" s="2"/>
      <c r="AA57" s="9"/>
      <c r="AB57" s="8"/>
      <c r="AC57" s="8"/>
      <c r="AD57" s="8"/>
      <c r="AE57" s="5"/>
    </row>
    <row r="58" spans="1:31" ht="15.9" hidden="1" customHeight="1"/>
    <row r="59" spans="1:31" ht="15.9" hidden="1" customHeight="1"/>
    <row r="60" spans="1:31" ht="15.9" hidden="1" customHeight="1">
      <c r="A60" s="4" t="s">
        <v>2</v>
      </c>
    </row>
    <row r="61" spans="1:31" ht="15.9" hidden="1" customHeight="1">
      <c r="A61" s="3" t="s">
        <v>1</v>
      </c>
    </row>
    <row r="62" spans="1:31" ht="15.9" hidden="1" customHeight="1">
      <c r="A62" s="3" t="s">
        <v>0</v>
      </c>
    </row>
    <row r="63" spans="1:31" ht="15.9" customHeight="1"/>
    <row r="64" spans="1:31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</sheetData>
  <sheetProtection algorithmName="SHA-512" hashValue="m2hln+7rWpY+XzIet15dJi6Q1qxbbXgHQ7kEknI0+WMrO7Ss9ZrRFUOheHvkbG+T0wEBzmf0PEf9KJ3JMOBUBA==" saltValue="CVKq1HLUzLKqCu/h3O4xUA==" spinCount="100000" sheet="1" formatColumns="0"/>
  <mergeCells count="5">
    <mergeCell ref="A4:F4"/>
    <mergeCell ref="A5:F5"/>
    <mergeCell ref="A56:B56"/>
    <mergeCell ref="A50:F50"/>
    <mergeCell ref="A47:F47"/>
  </mergeCells>
  <dataValidations count="3">
    <dataValidation allowBlank="1" showInputMessage="1" showErrorMessage="1" promptTitle="% of Full Time Appointment" prompt="Examples:  25%, 30%, 40% of FTE etc." sqref="D10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10"/>
    <dataValidation type="list" allowBlank="1" showInputMessage="1" showErrorMessage="1" sqref="F17 B33:B43">
      <formula1>$A$61:$A$62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P-T Over Cap</vt:lpstr>
      <vt:lpstr>Section 3 Add Accounts</vt:lpstr>
      <vt:lpstr>Section 5 Add Accounts</vt:lpstr>
      <vt:lpstr>'P-T Over Cap'!Print_Area</vt:lpstr>
      <vt:lpstr>'Section 3 Add Accounts'!Print_Area</vt:lpstr>
      <vt:lpstr>'Section 5 Add Accounts'!Print_Area</vt:lpstr>
    </vt:vector>
  </TitlesOfParts>
  <Company>The Mount Sinai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Gottlieb, Allison</dc:creator>
  <cp:lastModifiedBy>Gottlieb, Allison</cp:lastModifiedBy>
  <cp:lastPrinted>2023-07-20T08:03:31Z</cp:lastPrinted>
  <dcterms:created xsi:type="dcterms:W3CDTF">2022-02-09T12:36:16Z</dcterms:created>
  <dcterms:modified xsi:type="dcterms:W3CDTF">2023-07-20T10:11:23Z</dcterms:modified>
</cp:coreProperties>
</file>