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beecha01\Desktop\GCO\Budget Templates\"/>
    </mc:Choice>
  </mc:AlternateContent>
  <bookViews>
    <workbookView xWindow="0" yWindow="0" windowWidth="23040" windowHeight="8904" tabRatio="951" activeTab="1"/>
  </bookViews>
  <sheets>
    <sheet name="SetUp" sheetId="36" r:id="rId1"/>
    <sheet name="Y1" sheetId="2" r:id="rId2"/>
    <sheet name="Y2" sheetId="30" r:id="rId3"/>
    <sheet name="Y3" sheetId="31" r:id="rId4"/>
    <sheet name="Y4" sheetId="32" r:id="rId5"/>
    <sheet name="Y5" sheetId="33" r:id="rId6"/>
    <sheet name="Y1-5 SUMMARY" sheetId="16" r:id="rId7"/>
    <sheet name="Effort Converter Calculators" sheetId="48" r:id="rId8"/>
    <sheet name="P-T Faculty" sheetId="49" r:id="rId9"/>
    <sheet name="Federal Grad Student" sheetId="15" r:id="rId10"/>
    <sheet name="Add. Personnel" sheetId="37" r:id="rId11"/>
    <sheet name="Add. Consultants" sheetId="24" r:id="rId12"/>
    <sheet name="Add. Supplies" sheetId="25" r:id="rId13"/>
    <sheet name="Add. Travel" sheetId="26" r:id="rId14"/>
    <sheet name="Add. PatientCareCosts" sheetId="27" r:id="rId15"/>
    <sheet name="Add. Subawards" sheetId="28" r:id="rId16"/>
    <sheet name="Add. Direct Costs" sheetId="29" r:id="rId17"/>
    <sheet name="Advanced Options" sheetId="19" r:id="rId18"/>
    <sheet name="Sample_SetUp" sheetId="40" r:id="rId19"/>
    <sheet name="Sample_Y1" sheetId="41" r:id="rId20"/>
    <sheet name="Sample_Y2" sheetId="42" state="hidden" r:id="rId21"/>
    <sheet name="Sample_Y3" sheetId="43" state="hidden" r:id="rId22"/>
    <sheet name="Sample_Y4" sheetId="44" state="hidden" r:id="rId23"/>
    <sheet name="Sample_Y5" sheetId="45" state="hidden" r:id="rId24"/>
    <sheet name="Sample_Y1-5 SUMMARY" sheetId="46" r:id="rId25"/>
    <sheet name="Sample_Federal Grad Student" sheetId="47" r:id="rId26"/>
    <sheet name="Sheet2" sheetId="35" r:id="rId27"/>
    <sheet name="Sheet3" sheetId="38" r:id="rId28"/>
  </sheets>
  <definedNames>
    <definedName name="F_A_Rates" localSheetId="19">Sample_Y1!$J$241:$J$241</definedName>
    <definedName name="F_A_Rates" localSheetId="20">Sample_Y2!$J$250:$J$250</definedName>
    <definedName name="F_A_Rates" localSheetId="21">Sample_Y3!$J$250:$J$250</definedName>
    <definedName name="F_A_Rates" localSheetId="22">Sample_Y4!$J$250:$J$250</definedName>
    <definedName name="F_A_Rates" localSheetId="23">Sample_Y5!$J$250:$J$250</definedName>
    <definedName name="F_A_Rates" localSheetId="2">'Y2'!$N$257:$N$257</definedName>
    <definedName name="F_A_Rates" localSheetId="3">'Y3'!$N$258:$N$258</definedName>
    <definedName name="F_A_Rates" localSheetId="4">'Y4'!$N$257:$N$257</definedName>
    <definedName name="F_A_Rates" localSheetId="5">'Y5'!$N$259:$N$259</definedName>
    <definedName name="F_A_Rates">'Y1'!$O$245:$O$245</definedName>
    <definedName name="FederalFunding" localSheetId="10">'Y1'!#REF!</definedName>
    <definedName name="FederalFunding" localSheetId="25">'Y1'!#REF!</definedName>
    <definedName name="FederalFunding" localSheetId="18">'Y1'!#REF!</definedName>
    <definedName name="FederalFunding" localSheetId="19">Sample_Y1!#REF!</definedName>
    <definedName name="FederalFunding" localSheetId="24">'Y1'!#REF!</definedName>
    <definedName name="FederalFunding" localSheetId="20">Sample_Y2!$A$271:$A$272</definedName>
    <definedName name="FederalFunding" localSheetId="21">Sample_Y3!$A$271:$A$272</definedName>
    <definedName name="FederalFunding" localSheetId="22">Sample_Y4!$A$271:$A$272</definedName>
    <definedName name="FederalFunding" localSheetId="23">Sample_Y5!$A$271:$A$272</definedName>
    <definedName name="FederalFunding" localSheetId="2">'Y2'!$A$273:$A$274</definedName>
    <definedName name="FederalFunding" localSheetId="3">'Y3'!$A$273:$A$274</definedName>
    <definedName name="FederalFunding" localSheetId="4">'Y4'!$A$272:$A$273</definedName>
    <definedName name="FederalFunding" localSheetId="5">'Y5'!$A$274:$A$275</definedName>
    <definedName name="FederalFunding">'Y1'!#REF!</definedName>
    <definedName name="FringeRates" localSheetId="19">Sample_Y1!$K$16:$K$17</definedName>
    <definedName name="FringeRates" localSheetId="20">Sample_Y2!$K$16:$K$17</definedName>
    <definedName name="FringeRates" localSheetId="21">Sample_Y3!$K$16:$K$17</definedName>
    <definedName name="FringeRates" localSheetId="22">Sample_Y4!$K$16:$K$17</definedName>
    <definedName name="FringeRates" localSheetId="23">Sample_Y5!$K$16:$K$17</definedName>
    <definedName name="FringeRates" localSheetId="2">'Y2'!$N$13:$N$14</definedName>
    <definedName name="FringeRates" localSheetId="3">'Y3'!$N$13:$N$14</definedName>
    <definedName name="FringeRates" localSheetId="4">'Y4'!$N$13:$N$14</definedName>
    <definedName name="FringeRates" localSheetId="5">'Y5'!$N$13:$N$14</definedName>
    <definedName name="FringeRates">'Y1'!$O$13:$O$14</definedName>
    <definedName name="Modular_Amount" localSheetId="19">Sample_Y1!$D$261:$D$270</definedName>
    <definedName name="Modular_Amount" localSheetId="20">Sample_Y2!$D$272:$D$281</definedName>
    <definedName name="Modular_Amount" localSheetId="21">Sample_Y3!$D$272:$D$281</definedName>
    <definedName name="Modular_Amount" localSheetId="22">Sample_Y4!$D$272:$D$281</definedName>
    <definedName name="Modular_Amount" localSheetId="23">Sample_Y5!$D$272:$D$281</definedName>
    <definedName name="Modular_Amount" localSheetId="2">'Y2'!$D$274:$D$283</definedName>
    <definedName name="Modular_Amount" localSheetId="3">'Y3'!$H$274:$H$283</definedName>
    <definedName name="Modular_Amount" localSheetId="4">'Y4'!$G$273:$G$282</definedName>
    <definedName name="Modular_Amount" localSheetId="5">'Y5'!$F$275:$F$284</definedName>
    <definedName name="Modular_Amount">'Y1'!$E$259:$E$268</definedName>
    <definedName name="Modular_Grant_Answers" localSheetId="11">'Y1'!#REF!</definedName>
    <definedName name="Modular_Grant_Answers" localSheetId="16">'Y1'!#REF!</definedName>
    <definedName name="Modular_Grant_Answers" localSheetId="14">'Y1'!#REF!</definedName>
    <definedName name="Modular_Grant_Answers" localSheetId="10">'Y1'!#REF!</definedName>
    <definedName name="Modular_Grant_Answers" localSheetId="15">'Y1'!#REF!</definedName>
    <definedName name="Modular_Grant_Answers" localSheetId="12">'Y1'!#REF!</definedName>
    <definedName name="Modular_Grant_Answers" localSheetId="25">'Y1'!#REF!</definedName>
    <definedName name="Modular_Grant_Answers" localSheetId="18">'Y1'!#REF!</definedName>
    <definedName name="Modular_Grant_Answers" localSheetId="19">Sample_Y1!#REF!</definedName>
    <definedName name="Modular_Grant_Answers" localSheetId="24">'Y1'!#REF!</definedName>
    <definedName name="Modular_Grant_Answers" localSheetId="20">Sample_Y2!#REF!</definedName>
    <definedName name="Modular_Grant_Answers" localSheetId="21">Sample_Y3!#REF!</definedName>
    <definedName name="Modular_Grant_Answers" localSheetId="22">Sample_Y4!#REF!</definedName>
    <definedName name="Modular_Grant_Answers" localSheetId="23">Sample_Y5!#REF!</definedName>
    <definedName name="Modular_Grant_Answers" localSheetId="6">'Y1'!#REF!</definedName>
    <definedName name="Modular_Grant_Answers" localSheetId="2">'Y2'!#REF!</definedName>
    <definedName name="Modular_Grant_Answers" localSheetId="3">'Y3'!#REF!</definedName>
    <definedName name="Modular_Grant_Answers" localSheetId="4">'Y4'!#REF!</definedName>
    <definedName name="Modular_Grant_Answers" localSheetId="5">'Y5'!#REF!</definedName>
    <definedName name="Modular_Grant_Answers">'Y1'!#REF!</definedName>
    <definedName name="Modular_Rounding_Feature" localSheetId="19">Sample_Y1!$I$260:$I$261</definedName>
    <definedName name="Modular_Rounding_Feature" localSheetId="20">Sample_Y2!$I$271:$I$272</definedName>
    <definedName name="Modular_Rounding_Feature" localSheetId="21">Sample_Y3!$I$271:$I$272</definedName>
    <definedName name="Modular_Rounding_Feature" localSheetId="22">Sample_Y4!$I$271:$I$272</definedName>
    <definedName name="Modular_Rounding_Feature" localSheetId="23">Sample_Y5!$I$271:$I$272</definedName>
    <definedName name="Modular_Rounding_Feature" localSheetId="2">'Y2'!$L$273:$L$274</definedName>
    <definedName name="Modular_Rounding_Feature" localSheetId="3">'Y3'!$L$273:$L$274</definedName>
    <definedName name="Modular_Rounding_Feature" localSheetId="4">'Y4'!$L$272:$L$273</definedName>
    <definedName name="Modular_Rounding_Feature" localSheetId="5">'Y5'!$L$274:$L$275</definedName>
    <definedName name="Modular_Rounding_Feature">'Y1'!$M$258:$M$259</definedName>
    <definedName name="_xlnm.Print_Area" localSheetId="9">'Federal Grad Student'!$A$1:$F$311</definedName>
    <definedName name="_xlnm.Print_Area" localSheetId="19">Sample_Y1!$A$6:$K$108</definedName>
    <definedName name="_xlnm.Print_Area" localSheetId="20">Sample_Y2!$A$6:$K$108</definedName>
    <definedName name="_xlnm.Print_Area" localSheetId="21">Sample_Y3!$A$6:$K$108</definedName>
    <definedName name="_xlnm.Print_Area" localSheetId="22">Sample_Y4!$A$6:$K$108</definedName>
    <definedName name="_xlnm.Print_Area" localSheetId="23">Sample_Y5!$A$6:$K$108</definedName>
    <definedName name="_xlnm.Print_Area" localSheetId="1">'Y1'!$A$6:$O$99</definedName>
    <definedName name="_xlnm.Print_Area" localSheetId="6">'Y1-5 SUMMARY'!$A$1:$G$53</definedName>
    <definedName name="_xlnm.Print_Area" localSheetId="2">'Y2'!$A$6:$N$100</definedName>
    <definedName name="_xlnm.Print_Area" localSheetId="3">'Y3'!$A$6:$N$100</definedName>
    <definedName name="_xlnm.Print_Area" localSheetId="4">'Y4'!$A$6:$N$100</definedName>
    <definedName name="_xlnm.Print_Area" localSheetId="5">'Y5'!$A$6:$N$100</definedName>
    <definedName name="Subawards" localSheetId="11">'Y1'!#REF!</definedName>
    <definedName name="Subawards" localSheetId="16">'Y1'!#REF!</definedName>
    <definedName name="Subawards" localSheetId="14">'Y1'!#REF!</definedName>
    <definedName name="Subawards" localSheetId="10">'Y1'!#REF!</definedName>
    <definedName name="Subawards" localSheetId="15">'Y1'!#REF!</definedName>
    <definedName name="Subawards" localSheetId="12">'Y1'!#REF!</definedName>
    <definedName name="Subawards" localSheetId="25">'Y1'!#REF!</definedName>
    <definedName name="Subawards" localSheetId="18">'Y1'!#REF!</definedName>
    <definedName name="Subawards" localSheetId="19">Sample_Y1!#REF!</definedName>
    <definedName name="Subawards" localSheetId="24">'Y1'!#REF!</definedName>
    <definedName name="Subawards" localSheetId="20">Sample_Y2!#REF!</definedName>
    <definedName name="Subawards" localSheetId="21">Sample_Y3!#REF!</definedName>
    <definedName name="Subawards" localSheetId="22">Sample_Y4!#REF!</definedName>
    <definedName name="Subawards" localSheetId="23">Sample_Y5!#REF!</definedName>
    <definedName name="Subawards" localSheetId="2">'Y2'!#REF!</definedName>
    <definedName name="Subawards" localSheetId="3">'Y3'!#REF!</definedName>
    <definedName name="Subawards" localSheetId="4">'Y4'!#REF!</definedName>
    <definedName name="Subawards" localSheetId="5">'Y5'!#REF!</definedName>
    <definedName name="Subawards">'Y1'!#REF!</definedName>
    <definedName name="Subwardsq" localSheetId="19">Sample_Y1!$A$260:$A$261</definedName>
    <definedName name="Subwardsq" localSheetId="20">Sample_Y2!$A$275:$A$276</definedName>
    <definedName name="Subwardsq" localSheetId="21">Sample_Y3!$A$275:$A$276</definedName>
    <definedName name="Subwardsq" localSheetId="22">Sample_Y4!$A$275:$A$276</definedName>
    <definedName name="Subwardsq" localSheetId="23">Sample_Y5!$A$275:$A$276</definedName>
    <definedName name="Subwardsq" localSheetId="2">'Y2'!$A$277:$A$278</definedName>
    <definedName name="Subwardsq" localSheetId="3">'Y3'!$A$277:$A$278</definedName>
    <definedName name="Subwardsq" localSheetId="4">'Y4'!$A$276:$A$277</definedName>
    <definedName name="Subwardsq" localSheetId="5">'Y5'!$A$278:$A$279</definedName>
    <definedName name="Subwardsq">'Y1'!$A$258:$A$259</definedName>
    <definedName name="Yes_No_Qs" localSheetId="19">Sample_Y1!$A$260:$A$261</definedName>
    <definedName name="Yes_No_Qs" localSheetId="20">Sample_Y2!$A$275:$A$276</definedName>
    <definedName name="Yes_No_Qs" localSheetId="21">Sample_Y3!$A$275:$A$276</definedName>
    <definedName name="Yes_No_Qs" localSheetId="22">Sample_Y4!$A$275:$A$276</definedName>
    <definedName name="Yes_No_Qs" localSheetId="23">Sample_Y5!$A$275:$A$276</definedName>
    <definedName name="Yes_No_Qs" localSheetId="2">'Y2'!$A$277:$A$278</definedName>
    <definedName name="Yes_No_Qs" localSheetId="3">'Y3'!$A$277:$A$278</definedName>
    <definedName name="Yes_No_Qs" localSheetId="4">'Y4'!$A$276:$A$277</definedName>
    <definedName name="Yes_No_Qs" localSheetId="5">'Y5'!$A$278:$A$279</definedName>
    <definedName name="Yes_No_Qs">'Y1'!$A$258:$A$259</definedName>
  </definedNames>
  <calcPr calcId="162913"/>
</workbook>
</file>

<file path=xl/calcChain.xml><?xml version="1.0" encoding="utf-8"?>
<calcChain xmlns="http://schemas.openxmlformats.org/spreadsheetml/2006/main">
  <c r="B292" i="15" l="1"/>
  <c r="B283" i="15"/>
  <c r="B235" i="15"/>
  <c r="B226" i="15"/>
  <c r="B178" i="15"/>
  <c r="B169" i="15"/>
  <c r="B121" i="15"/>
  <c r="B112" i="15"/>
  <c r="B64" i="15"/>
  <c r="B55" i="15"/>
  <c r="C267" i="15"/>
  <c r="C252" i="15"/>
  <c r="C210" i="15"/>
  <c r="C195" i="15"/>
  <c r="C153" i="15"/>
  <c r="C138" i="15"/>
  <c r="C96" i="15"/>
  <c r="C81" i="15"/>
  <c r="C36" i="15"/>
  <c r="C21" i="15"/>
  <c r="C266" i="15"/>
  <c r="C251" i="15"/>
  <c r="C209" i="15"/>
  <c r="C194" i="15"/>
  <c r="C152" i="15"/>
  <c r="C137" i="15"/>
  <c r="C95" i="15"/>
  <c r="C80" i="15"/>
  <c r="C35" i="15"/>
  <c r="C20" i="15"/>
  <c r="B11" i="49" l="1"/>
  <c r="B13" i="49" s="1"/>
  <c r="B14" i="48"/>
  <c r="B10" i="48"/>
  <c r="N181" i="32" l="1"/>
  <c r="N180" i="32"/>
  <c r="B64" i="16"/>
  <c r="N182" i="33" l="1"/>
  <c r="N181" i="33"/>
  <c r="S17" i="33"/>
  <c r="S17" i="31"/>
  <c r="D18" i="32" l="1"/>
  <c r="D19" i="32"/>
  <c r="D20" i="32"/>
  <c r="D21" i="32"/>
  <c r="D22" i="32"/>
  <c r="D23" i="32"/>
  <c r="D24" i="32"/>
  <c r="D17" i="32"/>
  <c r="F17" i="31" l="1"/>
  <c r="F18" i="31"/>
  <c r="F19" i="31"/>
  <c r="F20" i="31"/>
  <c r="F21" i="31"/>
  <c r="F22" i="31"/>
  <c r="F23" i="31"/>
  <c r="F24" i="31"/>
  <c r="L8" i="30" l="1"/>
  <c r="L9" i="30"/>
  <c r="L10" i="30"/>
  <c r="D17" i="2" l="1"/>
  <c r="D18" i="2"/>
  <c r="D19" i="2"/>
  <c r="D20" i="2"/>
  <c r="D21" i="2"/>
  <c r="D22" i="2"/>
  <c r="D23" i="2"/>
  <c r="D24" i="2"/>
  <c r="H24" i="2" l="1"/>
  <c r="M24" i="2"/>
  <c r="Z24" i="33" l="1"/>
  <c r="Z23" i="33"/>
  <c r="Z22" i="33"/>
  <c r="Z21" i="33"/>
  <c r="Z20" i="33"/>
  <c r="Z19" i="33"/>
  <c r="Z18" i="33"/>
  <c r="Z17" i="33"/>
  <c r="Z24" i="32"/>
  <c r="Z23" i="32"/>
  <c r="Z22" i="32"/>
  <c r="Z21" i="32"/>
  <c r="Z20" i="32"/>
  <c r="Z19" i="32"/>
  <c r="Z18" i="32"/>
  <c r="Z17" i="32"/>
  <c r="Z24" i="31"/>
  <c r="Z23" i="31"/>
  <c r="Z22" i="31"/>
  <c r="Z21" i="31"/>
  <c r="Z20" i="31"/>
  <c r="Z19" i="31"/>
  <c r="Z18" i="31"/>
  <c r="Z17" i="31"/>
  <c r="Z24" i="30"/>
  <c r="Z23" i="30"/>
  <c r="Z22" i="30"/>
  <c r="Z21" i="30"/>
  <c r="Z20" i="30"/>
  <c r="Z19" i="30"/>
  <c r="Z18" i="30"/>
  <c r="Z17" i="30"/>
  <c r="D17" i="30"/>
  <c r="D18" i="30"/>
  <c r="D19" i="30"/>
  <c r="D20" i="30"/>
  <c r="D21" i="30"/>
  <c r="D22" i="30"/>
  <c r="D23" i="30"/>
  <c r="D24" i="30"/>
  <c r="Y18" i="2"/>
  <c r="Y19" i="2"/>
  <c r="Y20" i="2"/>
  <c r="Y21" i="2"/>
  <c r="Y22" i="2"/>
  <c r="Y23" i="2"/>
  <c r="Y24" i="2"/>
  <c r="Z18" i="2" l="1"/>
  <c r="X18" i="2" s="1"/>
  <c r="Z19" i="2"/>
  <c r="X19" i="2" s="1"/>
  <c r="Z20" i="2"/>
  <c r="X20" i="2" s="1"/>
  <c r="Z21" i="2"/>
  <c r="X21" i="2" s="1"/>
  <c r="Z22" i="2"/>
  <c r="X22" i="2" s="1"/>
  <c r="Z23" i="2"/>
  <c r="X23" i="2" s="1"/>
  <c r="Z24" i="2"/>
  <c r="X24" i="2" s="1"/>
  <c r="Y17" i="2"/>
  <c r="D18" i="33"/>
  <c r="D19" i="33"/>
  <c r="D20" i="33"/>
  <c r="D21" i="33"/>
  <c r="D22" i="33"/>
  <c r="D23" i="33"/>
  <c r="D24" i="33"/>
  <c r="D17" i="33"/>
  <c r="B7" i="15" l="1"/>
  <c r="M59" i="31" l="1"/>
  <c r="M59" i="32"/>
  <c r="M59" i="33"/>
  <c r="M59" i="30"/>
  <c r="L59" i="31"/>
  <c r="L59" i="32"/>
  <c r="L59" i="33"/>
  <c r="L59" i="30"/>
  <c r="N53" i="31"/>
  <c r="N53" i="32"/>
  <c r="N53" i="33"/>
  <c r="N53" i="30"/>
  <c r="N51" i="31"/>
  <c r="N51" i="32"/>
  <c r="N51" i="33"/>
  <c r="N51" i="30"/>
  <c r="N46" i="31"/>
  <c r="N46" i="32"/>
  <c r="N46" i="33"/>
  <c r="N46" i="30"/>
  <c r="N42" i="31"/>
  <c r="N42" i="32"/>
  <c r="N42" i="33"/>
  <c r="N42" i="30"/>
  <c r="N36" i="31"/>
  <c r="N36" i="32"/>
  <c r="N36" i="33"/>
  <c r="N36" i="30"/>
  <c r="N31" i="31"/>
  <c r="N31" i="32"/>
  <c r="N31" i="33"/>
  <c r="N31" i="30"/>
  <c r="N59" i="2"/>
  <c r="M59" i="2"/>
  <c r="O53" i="2"/>
  <c r="O51" i="2"/>
  <c r="O42" i="2"/>
  <c r="O31" i="2"/>
  <c r="O36" i="2"/>
  <c r="N25" i="33" l="1"/>
  <c r="N25" i="32"/>
  <c r="N25" i="31"/>
  <c r="N25" i="30"/>
  <c r="O25" i="2"/>
  <c r="B84" i="16"/>
  <c r="F84" i="16"/>
  <c r="E84" i="16"/>
  <c r="D84" i="16"/>
  <c r="C84" i="16"/>
  <c r="B20" i="16"/>
  <c r="B13" i="2"/>
  <c r="B16" i="41"/>
  <c r="B28" i="46"/>
  <c r="B38" i="46" s="1"/>
  <c r="B64" i="46"/>
  <c r="B56" i="16"/>
  <c r="E58" i="16"/>
  <c r="B60" i="16"/>
  <c r="B28" i="16" s="1"/>
  <c r="B17" i="16"/>
  <c r="B21" i="16"/>
  <c r="AN39" i="2"/>
  <c r="AK40" i="2"/>
  <c r="AI39" i="2"/>
  <c r="AO39" i="2" s="1"/>
  <c r="AE40" i="2"/>
  <c r="AL40" i="2" s="1"/>
  <c r="AQ77" i="2"/>
  <c r="AR77" i="2"/>
  <c r="O54"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B8" i="46"/>
  <c r="B9" i="46"/>
  <c r="B7" i="46"/>
  <c r="B5" i="46"/>
  <c r="B4" i="46"/>
  <c r="B3" i="46"/>
  <c r="C64" i="46"/>
  <c r="D64" i="46"/>
  <c r="E64" i="46"/>
  <c r="F64" i="46"/>
  <c r="B56" i="46"/>
  <c r="E58" i="46"/>
  <c r="H21" i="41"/>
  <c r="AC67" i="41"/>
  <c r="AI67" i="41" s="1"/>
  <c r="AM98" i="41"/>
  <c r="B78" i="46"/>
  <c r="B80" i="46" s="1"/>
  <c r="B79" i="46"/>
  <c r="B60" i="46"/>
  <c r="B74" i="46"/>
  <c r="B67" i="46"/>
  <c r="K67" i="41"/>
  <c r="AH67" i="41" s="1"/>
  <c r="J58" i="41"/>
  <c r="E53" i="41"/>
  <c r="E37" i="41"/>
  <c r="A286" i="42"/>
  <c r="C285" i="42"/>
  <c r="A285" i="42"/>
  <c r="B14" i="42"/>
  <c r="B13" i="42"/>
  <c r="B12" i="42"/>
  <c r="B10" i="42"/>
  <c r="B9" i="42"/>
  <c r="B8" i="42"/>
  <c r="B289" i="47"/>
  <c r="C263" i="47"/>
  <c r="C264" i="47"/>
  <c r="B286" i="47" s="1"/>
  <c r="B280" i="47"/>
  <c r="B282" i="47" s="1"/>
  <c r="C248" i="47"/>
  <c r="B276" i="47"/>
  <c r="B278" i="47" s="1"/>
  <c r="C249" i="47"/>
  <c r="B277" i="47"/>
  <c r="C270" i="47"/>
  <c r="B233" i="47"/>
  <c r="C207" i="47"/>
  <c r="C208" i="47"/>
  <c r="B230" i="47" s="1"/>
  <c r="B224" i="47"/>
  <c r="C192" i="47"/>
  <c r="B220" i="47"/>
  <c r="B222" i="47" s="1"/>
  <c r="C193" i="47"/>
  <c r="B221" i="47"/>
  <c r="B226" i="47"/>
  <c r="C214" i="47"/>
  <c r="B177" i="47"/>
  <c r="C151" i="47"/>
  <c r="C152" i="47"/>
  <c r="B174" i="47" s="1"/>
  <c r="B168" i="47"/>
  <c r="B170" i="47" s="1"/>
  <c r="C136" i="47"/>
  <c r="B164" i="47"/>
  <c r="B166" i="47" s="1"/>
  <c r="C137" i="47"/>
  <c r="B165" i="47"/>
  <c r="C158" i="47"/>
  <c r="B120" i="47"/>
  <c r="C94" i="47"/>
  <c r="C95" i="47"/>
  <c r="B117" i="47" s="1"/>
  <c r="B111" i="47"/>
  <c r="C79" i="47"/>
  <c r="B107" i="47"/>
  <c r="B109" i="47" s="1"/>
  <c r="C80" i="47"/>
  <c r="B108" i="47"/>
  <c r="B113" i="47"/>
  <c r="C101" i="47"/>
  <c r="B64" i="47"/>
  <c r="C35" i="47"/>
  <c r="C36" i="47"/>
  <c r="B61" i="47" s="1"/>
  <c r="B55" i="47"/>
  <c r="B57" i="47" s="1"/>
  <c r="C20" i="47"/>
  <c r="B51" i="47"/>
  <c r="B53" i="47" s="1"/>
  <c r="C21" i="47"/>
  <c r="B52" i="47"/>
  <c r="C42" i="47"/>
  <c r="K74" i="41" s="1"/>
  <c r="AI74" i="41" s="1"/>
  <c r="B6" i="47"/>
  <c r="M80" i="46"/>
  <c r="A286" i="45"/>
  <c r="C285" i="45"/>
  <c r="A285" i="45"/>
  <c r="C283" i="45"/>
  <c r="A283" i="45"/>
  <c r="K140" i="45"/>
  <c r="K141" i="45"/>
  <c r="K142" i="45"/>
  <c r="K143" i="45"/>
  <c r="K144" i="45"/>
  <c r="K145" i="45"/>
  <c r="K146" i="45"/>
  <c r="K147" i="45"/>
  <c r="K148" i="45"/>
  <c r="K149" i="45"/>
  <c r="K150" i="45"/>
  <c r="K151" i="45"/>
  <c r="K152" i="45"/>
  <c r="K153" i="45"/>
  <c r="K154" i="45"/>
  <c r="K155" i="45"/>
  <c r="K156" i="45"/>
  <c r="K157" i="45"/>
  <c r="K158" i="45"/>
  <c r="K159" i="45"/>
  <c r="K160" i="45"/>
  <c r="K161" i="45"/>
  <c r="K162" i="45"/>
  <c r="K163" i="45"/>
  <c r="K164" i="45"/>
  <c r="K165" i="45"/>
  <c r="L182" i="45"/>
  <c r="M182" i="45" s="1"/>
  <c r="K182" i="45"/>
  <c r="L183" i="45"/>
  <c r="K183" i="45"/>
  <c r="M183" i="45" s="1"/>
  <c r="P20" i="45"/>
  <c r="H20" i="45"/>
  <c r="P21" i="45"/>
  <c r="H21" i="45"/>
  <c r="P22" i="45"/>
  <c r="H22" i="45"/>
  <c r="P23" i="45"/>
  <c r="H23" i="45"/>
  <c r="P24" i="45"/>
  <c r="H24" i="45"/>
  <c r="P25" i="45"/>
  <c r="H25" i="45"/>
  <c r="P26" i="45"/>
  <c r="H26" i="45"/>
  <c r="P27" i="45"/>
  <c r="H27" i="45"/>
  <c r="AG37" i="45"/>
  <c r="AM37" i="45" s="1"/>
  <c r="AM39" i="45" s="1"/>
  <c r="AJ37" i="45"/>
  <c r="AG38" i="45"/>
  <c r="AM38" i="45"/>
  <c r="AG42" i="45"/>
  <c r="AM42" i="45" s="1"/>
  <c r="AJ42" i="45"/>
  <c r="AG43" i="45"/>
  <c r="AJ43" i="45"/>
  <c r="AM43" i="45"/>
  <c r="AG44" i="45"/>
  <c r="AM44" i="45"/>
  <c r="AG48" i="45"/>
  <c r="AJ48" i="45"/>
  <c r="AM48" i="45"/>
  <c r="AG49" i="45"/>
  <c r="AM49" i="45"/>
  <c r="AJ62" i="45"/>
  <c r="AM62" i="45" s="1"/>
  <c r="AO62" i="45" s="1"/>
  <c r="AG66" i="45"/>
  <c r="AM66" i="45" s="1"/>
  <c r="AJ66" i="45"/>
  <c r="AG67" i="45"/>
  <c r="AJ67" i="45"/>
  <c r="AM67" i="45" s="1"/>
  <c r="AG68" i="45"/>
  <c r="AM68" i="45" s="1"/>
  <c r="AJ68" i="45"/>
  <c r="AG69" i="45"/>
  <c r="AJ69" i="45"/>
  <c r="AM69" i="45" s="1"/>
  <c r="AO69" i="45" s="1"/>
  <c r="AG70" i="45"/>
  <c r="AM70" i="45" s="1"/>
  <c r="AJ70" i="45"/>
  <c r="AJ71" i="45"/>
  <c r="AM71" i="45"/>
  <c r="AO71" i="45" s="1"/>
  <c r="AG73" i="45"/>
  <c r="K73" i="45"/>
  <c r="AJ73" i="45" s="1"/>
  <c r="AG74" i="45"/>
  <c r="K74" i="45"/>
  <c r="AJ74" i="45" s="1"/>
  <c r="AM74" i="45" s="1"/>
  <c r="K28" i="45"/>
  <c r="K34" i="45"/>
  <c r="K39" i="45"/>
  <c r="K45" i="45"/>
  <c r="K50" i="45"/>
  <c r="K55" i="45"/>
  <c r="K58" i="45"/>
  <c r="K63" i="45" s="1"/>
  <c r="K59" i="45"/>
  <c r="K60" i="45"/>
  <c r="K61" i="45"/>
  <c r="K62" i="45"/>
  <c r="K75" i="45"/>
  <c r="J63" i="45"/>
  <c r="AO98" i="45"/>
  <c r="AE20" i="45"/>
  <c r="AE21" i="45"/>
  <c r="AE22" i="45"/>
  <c r="AE23" i="45"/>
  <c r="AE24" i="45"/>
  <c r="AE25" i="45"/>
  <c r="AE26" i="45"/>
  <c r="AE27" i="45"/>
  <c r="AO28" i="45"/>
  <c r="AA37" i="45"/>
  <c r="AH37" i="45" s="1"/>
  <c r="AE37" i="45"/>
  <c r="AK37" i="45" s="1"/>
  <c r="AK39" i="45" s="1"/>
  <c r="AA38" i="45"/>
  <c r="AH38" i="45"/>
  <c r="AN38" i="45" s="1"/>
  <c r="AO38" i="45" s="1"/>
  <c r="AA42" i="45"/>
  <c r="AH42" i="45"/>
  <c r="AE42" i="45"/>
  <c r="AK42" i="45" s="1"/>
  <c r="AN42" i="45" s="1"/>
  <c r="AA43" i="45"/>
  <c r="AH43" i="45"/>
  <c r="AE43" i="45"/>
  <c r="AK43" i="45"/>
  <c r="AN43" i="45" s="1"/>
  <c r="AA44" i="45"/>
  <c r="AH44" i="45" s="1"/>
  <c r="AA48" i="45"/>
  <c r="AH48" i="45"/>
  <c r="AN48" i="45" s="1"/>
  <c r="AN50" i="45" s="1"/>
  <c r="AE48" i="45"/>
  <c r="AK48" i="45"/>
  <c r="AK50" i="45" s="1"/>
  <c r="AA49" i="45"/>
  <c r="AH49" i="45" s="1"/>
  <c r="AN49" i="45" s="1"/>
  <c r="AO49" i="45" s="1"/>
  <c r="AE58" i="45"/>
  <c r="AE62" i="45"/>
  <c r="AK62" i="45"/>
  <c r="AN62" i="45"/>
  <c r="AA66" i="45"/>
  <c r="AH66" i="45"/>
  <c r="AN66" i="45" s="1"/>
  <c r="AE66" i="45"/>
  <c r="AK66" i="45"/>
  <c r="AA67" i="45"/>
  <c r="AH67" i="45" s="1"/>
  <c r="AE67" i="45"/>
  <c r="AK67" i="45" s="1"/>
  <c r="AA68" i="45"/>
  <c r="AH68" i="45"/>
  <c r="AN68" i="45" s="1"/>
  <c r="AE68" i="45"/>
  <c r="AK68" i="45"/>
  <c r="AA69" i="45"/>
  <c r="AH69" i="45"/>
  <c r="AE69" i="45"/>
  <c r="AK69" i="45" s="1"/>
  <c r="AN69" i="45" s="1"/>
  <c r="AA70" i="45"/>
  <c r="AH70" i="45"/>
  <c r="AE70" i="45"/>
  <c r="AK70" i="45"/>
  <c r="AN70" i="45" s="1"/>
  <c r="AK71" i="45"/>
  <c r="AN71" i="45" s="1"/>
  <c r="AH73" i="45"/>
  <c r="AE73" i="45"/>
  <c r="AH74" i="45"/>
  <c r="AE74" i="45"/>
  <c r="AM104" i="45"/>
  <c r="AN104" i="45"/>
  <c r="AN109" i="45"/>
  <c r="AM109" i="45"/>
  <c r="AM81" i="45"/>
  <c r="AN81" i="45"/>
  <c r="I63" i="45"/>
  <c r="H97" i="45"/>
  <c r="G97" i="45"/>
  <c r="C97" i="45"/>
  <c r="B97" i="45"/>
  <c r="AG78" i="45"/>
  <c r="AO77" i="45"/>
  <c r="AO76" i="45"/>
  <c r="B75" i="45"/>
  <c r="B74" i="45"/>
  <c r="B73" i="45"/>
  <c r="AO72" i="45"/>
  <c r="AC70" i="45"/>
  <c r="Y70" i="45"/>
  <c r="AC69" i="45"/>
  <c r="Y69" i="45"/>
  <c r="AC68" i="45"/>
  <c r="Y68" i="45"/>
  <c r="AC67" i="45"/>
  <c r="Y67" i="45"/>
  <c r="AC66" i="45"/>
  <c r="Y66" i="45"/>
  <c r="AC62" i="45"/>
  <c r="AJ50" i="45"/>
  <c r="AG50" i="45"/>
  <c r="Y49" i="45"/>
  <c r="AC48" i="45"/>
  <c r="Y48" i="45"/>
  <c r="AK45" i="45"/>
  <c r="AJ45" i="45"/>
  <c r="Y44" i="45"/>
  <c r="AO43" i="45"/>
  <c r="AC43" i="45"/>
  <c r="Y43" i="45"/>
  <c r="AC42" i="45"/>
  <c r="Y42" i="45"/>
  <c r="AJ39" i="45"/>
  <c r="Y38" i="45"/>
  <c r="AC37" i="45"/>
  <c r="Y37" i="45"/>
  <c r="AB27" i="45"/>
  <c r="F27" i="45"/>
  <c r="W27" i="45"/>
  <c r="V27" i="45"/>
  <c r="T27" i="45"/>
  <c r="S27" i="45"/>
  <c r="G27" i="45"/>
  <c r="E27" i="45"/>
  <c r="AB26" i="45"/>
  <c r="F26" i="45"/>
  <c r="W26" i="45"/>
  <c r="V26" i="45"/>
  <c r="T26" i="45"/>
  <c r="S26" i="45"/>
  <c r="G26" i="45"/>
  <c r="E26" i="45"/>
  <c r="AB25" i="45"/>
  <c r="F25" i="45"/>
  <c r="W25" i="45"/>
  <c r="V25" i="45"/>
  <c r="T25" i="45"/>
  <c r="S25" i="45"/>
  <c r="G25" i="45"/>
  <c r="E25" i="45"/>
  <c r="AB24" i="45"/>
  <c r="F24" i="45"/>
  <c r="W24" i="45"/>
  <c r="V24" i="45"/>
  <c r="T24" i="45"/>
  <c r="S24" i="45"/>
  <c r="G24" i="45"/>
  <c r="E24" i="45"/>
  <c r="AB23" i="45"/>
  <c r="F23" i="45"/>
  <c r="W23" i="45"/>
  <c r="V23" i="45"/>
  <c r="T23" i="45"/>
  <c r="S23" i="45"/>
  <c r="G23" i="45"/>
  <c r="E23" i="45"/>
  <c r="AB22" i="45"/>
  <c r="F22" i="45"/>
  <c r="W22" i="45"/>
  <c r="V22" i="45"/>
  <c r="T22" i="45"/>
  <c r="S22" i="45"/>
  <c r="G22" i="45"/>
  <c r="E22" i="45"/>
  <c r="AB21" i="45"/>
  <c r="F21" i="45"/>
  <c r="W21" i="45"/>
  <c r="V21" i="45"/>
  <c r="T21" i="45"/>
  <c r="S21" i="45"/>
  <c r="G21" i="45"/>
  <c r="E21" i="45"/>
  <c r="AB20" i="45"/>
  <c r="F20" i="45"/>
  <c r="W20" i="45"/>
  <c r="V20" i="45"/>
  <c r="T20" i="45"/>
  <c r="S20" i="45"/>
  <c r="G20" i="45"/>
  <c r="E20" i="45"/>
  <c r="B14" i="45"/>
  <c r="B13" i="45"/>
  <c r="B12" i="45"/>
  <c r="B10" i="45"/>
  <c r="B9" i="45"/>
  <c r="B8" i="45"/>
  <c r="AM1" i="45"/>
  <c r="AL1" i="45"/>
  <c r="AK1" i="45"/>
  <c r="A286" i="44"/>
  <c r="C285" i="44"/>
  <c r="A285" i="44"/>
  <c r="C283" i="44"/>
  <c r="I23" i="44" s="1"/>
  <c r="J23" i="44" s="1"/>
  <c r="K23" i="44" s="1"/>
  <c r="A283" i="44"/>
  <c r="P20" i="44"/>
  <c r="H20" i="44"/>
  <c r="P21" i="44"/>
  <c r="H21" i="44" s="1"/>
  <c r="P22" i="44"/>
  <c r="H22" i="44" s="1"/>
  <c r="P23" i="44"/>
  <c r="H23" i="44"/>
  <c r="P24" i="44"/>
  <c r="H24" i="44" s="1"/>
  <c r="P25" i="44"/>
  <c r="H25" i="44"/>
  <c r="P26" i="44"/>
  <c r="H26" i="44" s="1"/>
  <c r="P27" i="44"/>
  <c r="H27" i="44" s="1"/>
  <c r="AG37" i="44"/>
  <c r="AJ37" i="44"/>
  <c r="AM37" i="44"/>
  <c r="AG38" i="44"/>
  <c r="AM38" i="44"/>
  <c r="AG42" i="44"/>
  <c r="AJ42" i="44"/>
  <c r="AM42" i="44"/>
  <c r="AG43" i="44"/>
  <c r="AM43" i="44" s="1"/>
  <c r="AJ43" i="44"/>
  <c r="AJ45" i="44" s="1"/>
  <c r="AG44" i="44"/>
  <c r="AM44" i="44"/>
  <c r="AG48" i="44"/>
  <c r="AM48" i="44" s="1"/>
  <c r="AJ48" i="44"/>
  <c r="AG49" i="44"/>
  <c r="AM49" i="44"/>
  <c r="AM50" i="44"/>
  <c r="K140" i="44"/>
  <c r="K141" i="44"/>
  <c r="K142" i="44"/>
  <c r="K143" i="44"/>
  <c r="K144" i="44"/>
  <c r="K145" i="44"/>
  <c r="K146" i="44"/>
  <c r="K147" i="44"/>
  <c r="K148" i="44"/>
  <c r="K149" i="44"/>
  <c r="K150" i="44"/>
  <c r="K151" i="44"/>
  <c r="K152" i="44"/>
  <c r="K153" i="44"/>
  <c r="K154" i="44"/>
  <c r="K155" i="44"/>
  <c r="K156" i="44"/>
  <c r="K157" i="44"/>
  <c r="K158" i="44"/>
  <c r="K159" i="44"/>
  <c r="K160" i="44"/>
  <c r="K161" i="44"/>
  <c r="K162" i="44"/>
  <c r="K163" i="44"/>
  <c r="K164" i="44"/>
  <c r="K165" i="44"/>
  <c r="L182" i="44"/>
  <c r="K182" i="44"/>
  <c r="M182" i="44"/>
  <c r="L183" i="44"/>
  <c r="M183" i="44" s="1"/>
  <c r="K183" i="44"/>
  <c r="AJ62" i="44"/>
  <c r="AM62" i="44" s="1"/>
  <c r="AG66" i="44"/>
  <c r="AM66" i="44" s="1"/>
  <c r="AO66" i="44" s="1"/>
  <c r="AJ66" i="44"/>
  <c r="AG67" i="44"/>
  <c r="AJ67" i="44"/>
  <c r="AM67" i="44" s="1"/>
  <c r="AG68" i="44"/>
  <c r="AM68" i="44" s="1"/>
  <c r="AJ68" i="44"/>
  <c r="AG69" i="44"/>
  <c r="AJ69" i="44"/>
  <c r="AM69" i="44" s="1"/>
  <c r="AO69" i="44" s="1"/>
  <c r="AG70" i="44"/>
  <c r="AM70" i="44" s="1"/>
  <c r="AJ70" i="44"/>
  <c r="AJ71" i="44"/>
  <c r="AM71" i="44"/>
  <c r="AG73" i="44"/>
  <c r="K73" i="44"/>
  <c r="AJ73" i="44" s="1"/>
  <c r="AG74" i="44"/>
  <c r="K74" i="44"/>
  <c r="AJ74" i="44" s="1"/>
  <c r="AM74" i="44" s="1"/>
  <c r="K28" i="44"/>
  <c r="K34" i="44"/>
  <c r="K39" i="44"/>
  <c r="K45" i="44"/>
  <c r="K50" i="44"/>
  <c r="K55" i="44"/>
  <c r="K58" i="44"/>
  <c r="K63" i="44" s="1"/>
  <c r="K59" i="44"/>
  <c r="K60" i="44"/>
  <c r="K61" i="44"/>
  <c r="K62" i="44"/>
  <c r="K75" i="44"/>
  <c r="J63" i="44"/>
  <c r="AO98" i="44"/>
  <c r="AE20" i="44"/>
  <c r="AE21" i="44"/>
  <c r="AE22" i="44"/>
  <c r="AE23" i="44"/>
  <c r="AE24" i="44"/>
  <c r="AE25" i="44"/>
  <c r="AE26" i="44"/>
  <c r="AE27" i="44"/>
  <c r="AO28" i="44"/>
  <c r="AA37" i="44"/>
  <c r="AH37" i="44" s="1"/>
  <c r="AE37" i="44"/>
  <c r="AK37" i="44" s="1"/>
  <c r="AK39" i="44" s="1"/>
  <c r="AA38" i="44"/>
  <c r="AH38" i="44"/>
  <c r="AN38" i="44" s="1"/>
  <c r="AO38" i="44" s="1"/>
  <c r="AA42" i="44"/>
  <c r="AH42" i="44"/>
  <c r="AH45" i="44" s="1"/>
  <c r="AE42" i="44"/>
  <c r="AK42" i="44" s="1"/>
  <c r="AA43" i="44"/>
  <c r="AH43" i="44" s="1"/>
  <c r="AE43" i="44"/>
  <c r="AK43" i="44"/>
  <c r="AA44" i="44"/>
  <c r="AH44" i="44" s="1"/>
  <c r="AN44" i="44" s="1"/>
  <c r="AA48" i="44"/>
  <c r="AH48" i="44"/>
  <c r="AE48" i="44"/>
  <c r="AK48" i="44" s="1"/>
  <c r="AK50" i="44" s="1"/>
  <c r="AA49" i="44"/>
  <c r="AH49" i="44" s="1"/>
  <c r="AN49" i="44" s="1"/>
  <c r="AO49" i="44" s="1"/>
  <c r="AE58" i="44"/>
  <c r="AE62" i="44"/>
  <c r="AK62" i="44"/>
  <c r="AN62" i="44"/>
  <c r="AO62" i="44"/>
  <c r="AA66" i="44"/>
  <c r="AH66" i="44"/>
  <c r="AN66" i="44" s="1"/>
  <c r="AE66" i="44"/>
  <c r="AK66" i="44"/>
  <c r="AA67" i="44"/>
  <c r="AH67" i="44" s="1"/>
  <c r="AE67" i="44"/>
  <c r="AK67" i="44" s="1"/>
  <c r="AA68" i="44"/>
  <c r="AH68" i="44"/>
  <c r="AN68" i="44" s="1"/>
  <c r="AO68" i="44" s="1"/>
  <c r="AE68" i="44"/>
  <c r="AK68" i="44"/>
  <c r="AA69" i="44"/>
  <c r="AH69" i="44"/>
  <c r="AE69" i="44"/>
  <c r="AK69" i="44" s="1"/>
  <c r="AN69" i="44" s="1"/>
  <c r="AA70" i="44"/>
  <c r="AH70" i="44"/>
  <c r="AE70" i="44"/>
  <c r="AK70" i="44"/>
  <c r="AN70" i="44" s="1"/>
  <c r="AK71" i="44"/>
  <c r="AN71" i="44" s="1"/>
  <c r="AH73" i="44"/>
  <c r="AE73" i="44"/>
  <c r="AH74" i="44"/>
  <c r="AE74" i="44"/>
  <c r="A183" i="44"/>
  <c r="A182" i="44"/>
  <c r="AM104" i="44"/>
  <c r="AN104" i="44"/>
  <c r="AN109" i="44"/>
  <c r="AM109" i="44"/>
  <c r="AM81" i="44"/>
  <c r="AN81" i="44"/>
  <c r="I63" i="44"/>
  <c r="H97" i="44"/>
  <c r="G97" i="44"/>
  <c r="C97" i="44"/>
  <c r="B97" i="44"/>
  <c r="AO77" i="44"/>
  <c r="AO76" i="44"/>
  <c r="B75" i="44"/>
  <c r="B74" i="44"/>
  <c r="B73" i="44"/>
  <c r="AO72" i="44"/>
  <c r="AO70" i="44"/>
  <c r="AC70" i="44"/>
  <c r="Y70" i="44"/>
  <c r="AC69" i="44"/>
  <c r="Y69" i="44"/>
  <c r="AC68" i="44"/>
  <c r="Y68" i="44"/>
  <c r="AC67" i="44"/>
  <c r="Y67" i="44"/>
  <c r="AC66" i="44"/>
  <c r="Y66" i="44"/>
  <c r="AC62" i="44"/>
  <c r="AJ50" i="44"/>
  <c r="AG50" i="44"/>
  <c r="Y49" i="44"/>
  <c r="AC48" i="44"/>
  <c r="Y48" i="44"/>
  <c r="AG45" i="44"/>
  <c r="AO44" i="44"/>
  <c r="Y44" i="44"/>
  <c r="AC43" i="44"/>
  <c r="Y43" i="44"/>
  <c r="AC42" i="44"/>
  <c r="Y42" i="44"/>
  <c r="AJ39" i="44"/>
  <c r="AG39" i="44"/>
  <c r="Y38" i="44"/>
  <c r="AC37" i="44"/>
  <c r="Y37" i="44"/>
  <c r="AB27" i="44"/>
  <c r="F27" i="44"/>
  <c r="W27" i="44"/>
  <c r="V27" i="44"/>
  <c r="T27" i="44"/>
  <c r="S27" i="44"/>
  <c r="G27" i="44"/>
  <c r="E27" i="44"/>
  <c r="AB26" i="44"/>
  <c r="F26" i="44"/>
  <c r="W26" i="44" s="1"/>
  <c r="V26" i="44"/>
  <c r="T26" i="44"/>
  <c r="S26" i="44"/>
  <c r="G26" i="44"/>
  <c r="E26" i="44"/>
  <c r="AB25" i="44"/>
  <c r="F25" i="44"/>
  <c r="W25" i="44"/>
  <c r="V25" i="44"/>
  <c r="T25" i="44"/>
  <c r="S25" i="44"/>
  <c r="G25" i="44"/>
  <c r="E25" i="44"/>
  <c r="AB24" i="44"/>
  <c r="F24" i="44"/>
  <c r="W24" i="44"/>
  <c r="V24" i="44"/>
  <c r="T24" i="44"/>
  <c r="S24" i="44"/>
  <c r="G24" i="44"/>
  <c r="E24" i="44"/>
  <c r="AB23" i="44"/>
  <c r="F23" i="44"/>
  <c r="W23" i="44" s="1"/>
  <c r="V23" i="44"/>
  <c r="T23" i="44"/>
  <c r="S23" i="44"/>
  <c r="G23" i="44"/>
  <c r="E23" i="44"/>
  <c r="AB22" i="44"/>
  <c r="F22" i="44"/>
  <c r="W22" i="44"/>
  <c r="V22" i="44"/>
  <c r="T22" i="44"/>
  <c r="S22" i="44"/>
  <c r="G22" i="44"/>
  <c r="E22" i="44"/>
  <c r="AB21" i="44"/>
  <c r="F21" i="44"/>
  <c r="W21" i="44"/>
  <c r="V21" i="44"/>
  <c r="T21" i="44"/>
  <c r="S21" i="44"/>
  <c r="G21" i="44"/>
  <c r="E21" i="44"/>
  <c r="AB20" i="44"/>
  <c r="F20" i="44"/>
  <c r="W20" i="44" s="1"/>
  <c r="V20" i="44"/>
  <c r="T20" i="44"/>
  <c r="S20" i="44"/>
  <c r="G20" i="44"/>
  <c r="E20" i="44"/>
  <c r="B14" i="44"/>
  <c r="B13" i="44"/>
  <c r="B12" i="44"/>
  <c r="B10" i="44"/>
  <c r="B9" i="44"/>
  <c r="B8" i="44"/>
  <c r="AM1" i="44"/>
  <c r="AL1" i="44"/>
  <c r="AK1" i="44"/>
  <c r="A286" i="43"/>
  <c r="C285" i="43"/>
  <c r="A285" i="43"/>
  <c r="C283" i="43"/>
  <c r="I22" i="43" s="1"/>
  <c r="A283" i="43"/>
  <c r="K140" i="43"/>
  <c r="K141" i="43"/>
  <c r="K142" i="43"/>
  <c r="K143" i="43"/>
  <c r="K144" i="43"/>
  <c r="K145" i="43"/>
  <c r="K146" i="43"/>
  <c r="K147" i="43"/>
  <c r="K148" i="43"/>
  <c r="K149" i="43"/>
  <c r="K150" i="43"/>
  <c r="K151" i="43"/>
  <c r="K152" i="43"/>
  <c r="K153" i="43"/>
  <c r="K154" i="43"/>
  <c r="K155" i="43"/>
  <c r="K156" i="43"/>
  <c r="K157" i="43"/>
  <c r="K158" i="43"/>
  <c r="K159" i="43"/>
  <c r="K160" i="43"/>
  <c r="K161" i="43"/>
  <c r="K162" i="43"/>
  <c r="K163" i="43"/>
  <c r="K164" i="43"/>
  <c r="K165" i="43"/>
  <c r="L182" i="43"/>
  <c r="M182" i="43" s="1"/>
  <c r="K182" i="43"/>
  <c r="L183" i="43"/>
  <c r="K183" i="43"/>
  <c r="A182" i="43"/>
  <c r="P20" i="43"/>
  <c r="H20" i="43"/>
  <c r="P21" i="43"/>
  <c r="H21" i="43"/>
  <c r="P22" i="43"/>
  <c r="H22" i="43"/>
  <c r="P23" i="43"/>
  <c r="H23" i="43"/>
  <c r="P24" i="43"/>
  <c r="H24" i="43"/>
  <c r="P25" i="43"/>
  <c r="H25" i="43"/>
  <c r="P26" i="43"/>
  <c r="H26" i="43"/>
  <c r="P27" i="43"/>
  <c r="H27" i="43"/>
  <c r="AG37" i="43"/>
  <c r="AJ37" i="43"/>
  <c r="AM37" i="43"/>
  <c r="AG38" i="43"/>
  <c r="AG42" i="43"/>
  <c r="AJ42" i="43"/>
  <c r="AM42" i="43"/>
  <c r="AG43" i="43"/>
  <c r="AJ43" i="43"/>
  <c r="AG44" i="43"/>
  <c r="AM44" i="43"/>
  <c r="AG48" i="43"/>
  <c r="AJ48" i="43"/>
  <c r="AG49" i="43"/>
  <c r="AM49" i="43"/>
  <c r="AJ62" i="43"/>
  <c r="AM62" i="43" s="1"/>
  <c r="AG66" i="43"/>
  <c r="AJ66" i="43"/>
  <c r="AM66" i="43"/>
  <c r="AG67" i="43"/>
  <c r="AM67" i="43" s="1"/>
  <c r="AJ67" i="43"/>
  <c r="AG68" i="43"/>
  <c r="AJ68" i="43"/>
  <c r="AM68" i="43"/>
  <c r="AG69" i="43"/>
  <c r="AM69" i="43" s="1"/>
  <c r="AJ69" i="43"/>
  <c r="AG70" i="43"/>
  <c r="AJ70" i="43"/>
  <c r="AM70" i="43"/>
  <c r="AJ71" i="43"/>
  <c r="AM71" i="43"/>
  <c r="AO71" i="43" s="1"/>
  <c r="AG73" i="43"/>
  <c r="K73" i="43"/>
  <c r="AJ73" i="43" s="1"/>
  <c r="AG74" i="43"/>
  <c r="K74" i="43"/>
  <c r="AK74" i="43" s="1"/>
  <c r="AN74" i="43" s="1"/>
  <c r="K28" i="43"/>
  <c r="K34" i="43"/>
  <c r="K39" i="43"/>
  <c r="K45" i="43"/>
  <c r="K50" i="43"/>
  <c r="K55" i="43"/>
  <c r="K58" i="43"/>
  <c r="K59" i="43"/>
  <c r="K60" i="43"/>
  <c r="K61" i="43"/>
  <c r="K62" i="43"/>
  <c r="K63" i="43"/>
  <c r="K75" i="43"/>
  <c r="J63" i="43"/>
  <c r="AO98" i="43"/>
  <c r="AE20" i="43"/>
  <c r="AE21" i="43"/>
  <c r="AE22" i="43"/>
  <c r="AE23" i="43"/>
  <c r="AE24" i="43"/>
  <c r="AE25" i="43"/>
  <c r="AE26" i="43"/>
  <c r="AE27" i="43"/>
  <c r="AO28" i="43"/>
  <c r="AA37" i="43"/>
  <c r="AH37" i="43"/>
  <c r="AN37" i="43" s="1"/>
  <c r="AE37" i="43"/>
  <c r="AK37" i="43"/>
  <c r="AA38" i="43"/>
  <c r="AH38" i="43" s="1"/>
  <c r="AN38" i="43" s="1"/>
  <c r="AA42" i="43"/>
  <c r="AH42" i="43"/>
  <c r="AE42" i="43"/>
  <c r="AK42" i="43"/>
  <c r="AK45" i="43" s="1"/>
  <c r="AA43" i="43"/>
  <c r="AH43" i="43" s="1"/>
  <c r="AE43" i="43"/>
  <c r="AK43" i="43" s="1"/>
  <c r="AA44" i="43"/>
  <c r="AH44" i="43"/>
  <c r="AN44" i="43" s="1"/>
  <c r="AO44" i="43" s="1"/>
  <c r="AA48" i="43"/>
  <c r="AH48" i="43" s="1"/>
  <c r="AN48" i="43" s="1"/>
  <c r="AN50" i="43" s="1"/>
  <c r="AE48" i="43"/>
  <c r="AK48" i="43" s="1"/>
  <c r="AK50" i="43" s="1"/>
  <c r="AA49" i="43"/>
  <c r="AH49" i="43"/>
  <c r="AN49" i="43" s="1"/>
  <c r="AO49" i="43" s="1"/>
  <c r="AE58" i="43"/>
  <c r="AE62" i="43"/>
  <c r="AK62" i="43" s="1"/>
  <c r="AN62" i="43" s="1"/>
  <c r="AA66" i="43"/>
  <c r="AH66" i="43" s="1"/>
  <c r="AN66" i="43" s="1"/>
  <c r="AE66" i="43"/>
  <c r="AK66" i="43" s="1"/>
  <c r="AA67" i="43"/>
  <c r="AH67" i="43"/>
  <c r="AN67" i="43" s="1"/>
  <c r="AE67" i="43"/>
  <c r="AK67" i="43"/>
  <c r="AA68" i="43"/>
  <c r="AH68" i="43" s="1"/>
  <c r="AN68" i="43" s="1"/>
  <c r="AE68" i="43"/>
  <c r="AK68" i="43" s="1"/>
  <c r="AA69" i="43"/>
  <c r="AH69" i="43"/>
  <c r="AN69" i="43" s="1"/>
  <c r="AE69" i="43"/>
  <c r="AK69" i="43"/>
  <c r="AA70" i="43"/>
  <c r="AH70" i="43" s="1"/>
  <c r="AN70" i="43" s="1"/>
  <c r="AE70" i="43"/>
  <c r="AK70" i="43" s="1"/>
  <c r="AK71" i="43"/>
  <c r="AN71" i="43"/>
  <c r="AH73" i="43"/>
  <c r="AE73" i="43"/>
  <c r="AH74" i="43"/>
  <c r="AE74" i="43"/>
  <c r="AM104" i="43"/>
  <c r="AN104" i="43"/>
  <c r="AN109" i="43"/>
  <c r="AM109" i="43"/>
  <c r="AM81" i="43"/>
  <c r="AN81" i="43"/>
  <c r="I63" i="43"/>
  <c r="H97" i="43"/>
  <c r="G97" i="43"/>
  <c r="C97" i="43"/>
  <c r="B97" i="43"/>
  <c r="AG78" i="43"/>
  <c r="AO77" i="43"/>
  <c r="AO76" i="43"/>
  <c r="B75" i="43"/>
  <c r="B74" i="43"/>
  <c r="B73" i="43"/>
  <c r="AO72" i="43"/>
  <c r="AC70" i="43"/>
  <c r="Y70" i="43"/>
  <c r="AC69" i="43"/>
  <c r="Y69" i="43"/>
  <c r="AC68" i="43"/>
  <c r="Y68" i="43"/>
  <c r="AC67" i="43"/>
  <c r="Y67" i="43"/>
  <c r="AC66" i="43"/>
  <c r="Y66" i="43"/>
  <c r="AC62" i="43"/>
  <c r="AJ50" i="43"/>
  <c r="Y49" i="43"/>
  <c r="AC48" i="43"/>
  <c r="Y48" i="43"/>
  <c r="AJ45" i="43"/>
  <c r="Y44" i="43"/>
  <c r="AC43" i="43"/>
  <c r="Y43" i="43"/>
  <c r="AC42" i="43"/>
  <c r="Y42" i="43"/>
  <c r="AK39" i="43"/>
  <c r="AJ39" i="43"/>
  <c r="Y38" i="43"/>
  <c r="AC37" i="43"/>
  <c r="Y37" i="43"/>
  <c r="AB27" i="43"/>
  <c r="F27" i="43"/>
  <c r="W27" i="43" s="1"/>
  <c r="V27" i="43"/>
  <c r="T27" i="43"/>
  <c r="S27" i="43"/>
  <c r="G27" i="43"/>
  <c r="E27" i="43"/>
  <c r="AB26" i="43"/>
  <c r="F26" i="43"/>
  <c r="W26" i="43" s="1"/>
  <c r="V26" i="43"/>
  <c r="T26" i="43"/>
  <c r="S26" i="43"/>
  <c r="G26" i="43"/>
  <c r="E26" i="43"/>
  <c r="AB25" i="43"/>
  <c r="F25" i="43"/>
  <c r="W25" i="43" s="1"/>
  <c r="V25" i="43"/>
  <c r="T25" i="43"/>
  <c r="S25" i="43"/>
  <c r="G25" i="43"/>
  <c r="E25" i="43"/>
  <c r="AB24" i="43"/>
  <c r="F24" i="43"/>
  <c r="W24" i="43" s="1"/>
  <c r="V24" i="43"/>
  <c r="T24" i="43"/>
  <c r="S24" i="43"/>
  <c r="G24" i="43"/>
  <c r="E24" i="43"/>
  <c r="AB23" i="43"/>
  <c r="F23" i="43"/>
  <c r="W23" i="43" s="1"/>
  <c r="V23" i="43"/>
  <c r="T23" i="43"/>
  <c r="S23" i="43"/>
  <c r="G23" i="43"/>
  <c r="E23" i="43"/>
  <c r="AB22" i="43"/>
  <c r="F22" i="43"/>
  <c r="W22" i="43" s="1"/>
  <c r="V22" i="43"/>
  <c r="T22" i="43"/>
  <c r="S22" i="43"/>
  <c r="G22" i="43"/>
  <c r="E22" i="43"/>
  <c r="AB21" i="43"/>
  <c r="F21" i="43"/>
  <c r="W21" i="43" s="1"/>
  <c r="V21" i="43"/>
  <c r="T21" i="43"/>
  <c r="S21" i="43"/>
  <c r="G21" i="43"/>
  <c r="E21" i="43"/>
  <c r="AB20" i="43"/>
  <c r="F20" i="43"/>
  <c r="W20" i="43" s="1"/>
  <c r="V20" i="43"/>
  <c r="T20" i="43"/>
  <c r="S20" i="43"/>
  <c r="G20" i="43"/>
  <c r="E20" i="43"/>
  <c r="B14" i="43"/>
  <c r="B13" i="43"/>
  <c r="B12" i="43"/>
  <c r="B10" i="43"/>
  <c r="B9" i="43"/>
  <c r="B8" i="43"/>
  <c r="AM1" i="43"/>
  <c r="AL1" i="43"/>
  <c r="AK1" i="43"/>
  <c r="C283" i="42"/>
  <c r="I26" i="42" s="1"/>
  <c r="A283" i="42"/>
  <c r="AK234" i="42"/>
  <c r="AM234" i="42" s="1"/>
  <c r="AL234" i="42"/>
  <c r="AK224" i="42"/>
  <c r="AL224" i="42"/>
  <c r="AM224" i="42" s="1"/>
  <c r="K140" i="42"/>
  <c r="K141" i="42"/>
  <c r="K142" i="42"/>
  <c r="K143" i="42"/>
  <c r="K144" i="42"/>
  <c r="K145" i="42"/>
  <c r="K146" i="42"/>
  <c r="K147" i="42"/>
  <c r="K148" i="42"/>
  <c r="K149" i="42"/>
  <c r="K150" i="42"/>
  <c r="K151" i="42"/>
  <c r="K152" i="42"/>
  <c r="K153" i="42"/>
  <c r="K154" i="42"/>
  <c r="K155" i="42"/>
  <c r="K156" i="42"/>
  <c r="K157" i="42"/>
  <c r="K158" i="42"/>
  <c r="K159" i="42"/>
  <c r="K160" i="42"/>
  <c r="K161" i="42"/>
  <c r="K162" i="42"/>
  <c r="K163" i="42"/>
  <c r="K164" i="42"/>
  <c r="K165" i="42"/>
  <c r="K182" i="42"/>
  <c r="L182" i="42" s="1"/>
  <c r="K183" i="42"/>
  <c r="G182" i="42"/>
  <c r="P20" i="42"/>
  <c r="H20" i="42"/>
  <c r="P21" i="42"/>
  <c r="H21" i="42"/>
  <c r="P22" i="42"/>
  <c r="H22" i="42"/>
  <c r="P23" i="42"/>
  <c r="H23" i="42"/>
  <c r="P24" i="42"/>
  <c r="H24" i="42"/>
  <c r="P25" i="42"/>
  <c r="H25" i="42"/>
  <c r="P26" i="42"/>
  <c r="H26" i="42"/>
  <c r="P27" i="42"/>
  <c r="H27" i="42"/>
  <c r="AG37" i="42"/>
  <c r="AM37" i="42" s="1"/>
  <c r="AJ37" i="42"/>
  <c r="AG38" i="42"/>
  <c r="AM38" i="42" s="1"/>
  <c r="AM39" i="42"/>
  <c r="AG42" i="42"/>
  <c r="AJ42" i="42"/>
  <c r="AM42" i="42" s="1"/>
  <c r="AG43" i="42"/>
  <c r="AM43" i="42" s="1"/>
  <c r="AJ43" i="42"/>
  <c r="AG44" i="42"/>
  <c r="AM44" i="42"/>
  <c r="AG48" i="42"/>
  <c r="AJ48" i="42"/>
  <c r="AM48" i="42"/>
  <c r="AM50" i="42" s="1"/>
  <c r="AG49" i="42"/>
  <c r="AM49" i="42"/>
  <c r="AJ62" i="42"/>
  <c r="AM62" i="42" s="1"/>
  <c r="AG66" i="42"/>
  <c r="AJ66" i="42"/>
  <c r="AM66" i="42"/>
  <c r="AG67" i="42"/>
  <c r="AM67" i="42" s="1"/>
  <c r="AJ67" i="42"/>
  <c r="AG68" i="42"/>
  <c r="AJ68" i="42"/>
  <c r="AM68" i="42"/>
  <c r="AG69" i="42"/>
  <c r="AJ69" i="42"/>
  <c r="AG70" i="42"/>
  <c r="AJ70" i="42"/>
  <c r="AM70" i="42"/>
  <c r="AJ71" i="42"/>
  <c r="AM71" i="42"/>
  <c r="AG73" i="42"/>
  <c r="K73" i="42"/>
  <c r="AJ73" i="42" s="1"/>
  <c r="AG74" i="42"/>
  <c r="K74" i="42"/>
  <c r="AK74" i="42" s="1"/>
  <c r="AN74" i="42" s="1"/>
  <c r="K28" i="42"/>
  <c r="K34" i="42"/>
  <c r="K39" i="42"/>
  <c r="K45" i="42"/>
  <c r="K50" i="42"/>
  <c r="K55" i="42"/>
  <c r="K58" i="42"/>
  <c r="K63" i="42" s="1"/>
  <c r="K59" i="42"/>
  <c r="K60" i="42"/>
  <c r="K61" i="42"/>
  <c r="K62" i="42"/>
  <c r="K75" i="42"/>
  <c r="J63" i="42"/>
  <c r="AO98" i="42"/>
  <c r="AE20" i="42"/>
  <c r="AE21" i="42"/>
  <c r="AE22" i="42"/>
  <c r="AE23" i="42"/>
  <c r="AE24" i="42"/>
  <c r="AE25" i="42"/>
  <c r="AE26" i="42"/>
  <c r="AE27" i="42"/>
  <c r="AO28" i="42"/>
  <c r="AA37" i="42"/>
  <c r="AH37" i="42" s="1"/>
  <c r="AN37" i="42" s="1"/>
  <c r="AE37" i="42"/>
  <c r="AK37" i="42" s="1"/>
  <c r="AK39" i="42" s="1"/>
  <c r="AA38" i="42"/>
  <c r="AH38" i="42"/>
  <c r="AN38" i="42" s="1"/>
  <c r="AA42" i="42"/>
  <c r="AH42" i="42" s="1"/>
  <c r="AE42" i="42"/>
  <c r="AK42" i="42" s="1"/>
  <c r="AA43" i="42"/>
  <c r="AH43" i="42"/>
  <c r="AE43" i="42"/>
  <c r="AK43" i="42"/>
  <c r="AA44" i="42"/>
  <c r="AH44" i="42" s="1"/>
  <c r="AN44" i="42"/>
  <c r="AA48" i="42"/>
  <c r="AH48" i="42"/>
  <c r="AE48" i="42"/>
  <c r="AK48" i="42"/>
  <c r="AN48" i="42"/>
  <c r="AA49" i="42"/>
  <c r="AH49" i="42" s="1"/>
  <c r="AN49" i="42" s="1"/>
  <c r="AE58" i="42"/>
  <c r="AE62" i="42"/>
  <c r="AK62" i="42"/>
  <c r="AN62" i="42" s="1"/>
  <c r="AO62" i="42" s="1"/>
  <c r="AA66" i="42"/>
  <c r="AH66" i="42"/>
  <c r="AN66" i="42" s="1"/>
  <c r="AO66" i="42" s="1"/>
  <c r="AE66" i="42"/>
  <c r="AK66" i="42"/>
  <c r="AA67" i="42"/>
  <c r="AH67" i="42" s="1"/>
  <c r="AE67" i="42"/>
  <c r="AK67" i="42"/>
  <c r="AN67" i="42" s="1"/>
  <c r="AA68" i="42"/>
  <c r="AH68" i="42" s="1"/>
  <c r="AN68" i="42" s="1"/>
  <c r="AE68" i="42"/>
  <c r="AK68" i="42"/>
  <c r="AA69" i="42"/>
  <c r="AH69" i="42"/>
  <c r="AN69" i="42" s="1"/>
  <c r="AE69" i="42"/>
  <c r="AK69" i="42" s="1"/>
  <c r="AA70" i="42"/>
  <c r="AH70" i="42" s="1"/>
  <c r="AN70" i="42" s="1"/>
  <c r="AO70" i="42" s="1"/>
  <c r="AE70" i="42"/>
  <c r="AK70" i="42" s="1"/>
  <c r="AK71" i="42"/>
  <c r="AN71" i="42"/>
  <c r="AH73" i="42"/>
  <c r="AE73" i="42"/>
  <c r="AH74" i="42"/>
  <c r="AE74" i="42"/>
  <c r="AM104" i="42"/>
  <c r="AN104" i="42"/>
  <c r="AN109" i="42"/>
  <c r="AM109" i="42"/>
  <c r="AM81" i="42"/>
  <c r="AN81" i="42"/>
  <c r="I63" i="42"/>
  <c r="H97" i="42"/>
  <c r="G97" i="42"/>
  <c r="C97" i="42"/>
  <c r="B97" i="42"/>
  <c r="AG78" i="42"/>
  <c r="AO77" i="42"/>
  <c r="AO76" i="42"/>
  <c r="B75" i="42"/>
  <c r="B74" i="42"/>
  <c r="B73" i="42"/>
  <c r="AO72" i="42"/>
  <c r="AO71" i="42"/>
  <c r="AC70" i="42"/>
  <c r="Y70" i="42"/>
  <c r="AC69" i="42"/>
  <c r="Y69" i="42"/>
  <c r="AC68" i="42"/>
  <c r="Y68" i="42"/>
  <c r="AC67" i="42"/>
  <c r="Y67" i="42"/>
  <c r="AC66" i="42"/>
  <c r="Y66" i="42"/>
  <c r="AC62" i="42"/>
  <c r="AK50" i="42"/>
  <c r="AJ50" i="42"/>
  <c r="AG50" i="42"/>
  <c r="Y49" i="42"/>
  <c r="AO48" i="42"/>
  <c r="AC48" i="42"/>
  <c r="Y48" i="42"/>
  <c r="AK45" i="42"/>
  <c r="AJ45" i="42"/>
  <c r="AH45" i="42"/>
  <c r="AG45" i="42"/>
  <c r="AO44" i="42"/>
  <c r="Y44" i="42"/>
  <c r="AC43" i="42"/>
  <c r="Y43" i="42"/>
  <c r="AC42" i="42"/>
  <c r="Y42" i="42"/>
  <c r="AJ39" i="42"/>
  <c r="AH39" i="42"/>
  <c r="AG39" i="42"/>
  <c r="AO38" i="42"/>
  <c r="Y38" i="42"/>
  <c r="AC37" i="42"/>
  <c r="Y37" i="42"/>
  <c r="H29" i="42"/>
  <c r="AB27" i="42"/>
  <c r="F27" i="42"/>
  <c r="W27" i="42" s="1"/>
  <c r="V27" i="42"/>
  <c r="T27" i="42"/>
  <c r="S27" i="42"/>
  <c r="G27" i="42"/>
  <c r="E27" i="42"/>
  <c r="AB26" i="42"/>
  <c r="F26" i="42"/>
  <c r="W26" i="42"/>
  <c r="V26" i="42"/>
  <c r="T26" i="42"/>
  <c r="S26" i="42"/>
  <c r="G26" i="42"/>
  <c r="E26" i="42"/>
  <c r="AB25" i="42"/>
  <c r="F25" i="42"/>
  <c r="W25" i="42" s="1"/>
  <c r="V25" i="42"/>
  <c r="T25" i="42"/>
  <c r="S25" i="42"/>
  <c r="G25" i="42"/>
  <c r="E25" i="42"/>
  <c r="AB24" i="42"/>
  <c r="F24" i="42"/>
  <c r="W24" i="42" s="1"/>
  <c r="V24" i="42"/>
  <c r="T24" i="42"/>
  <c r="S24" i="42"/>
  <c r="G24" i="42"/>
  <c r="E24" i="42"/>
  <c r="AB23" i="42"/>
  <c r="F23" i="42"/>
  <c r="W23" i="42"/>
  <c r="V23" i="42"/>
  <c r="T23" i="42"/>
  <c r="S23" i="42"/>
  <c r="G23" i="42"/>
  <c r="E23" i="42"/>
  <c r="AB22" i="42"/>
  <c r="F22" i="42"/>
  <c r="W22" i="42" s="1"/>
  <c r="V22" i="42"/>
  <c r="T22" i="42"/>
  <c r="S22" i="42"/>
  <c r="G22" i="42"/>
  <c r="E22" i="42"/>
  <c r="AB21" i="42"/>
  <c r="F21" i="42"/>
  <c r="W21" i="42" s="1"/>
  <c r="V21" i="42"/>
  <c r="T21" i="42"/>
  <c r="S21" i="42"/>
  <c r="G21" i="42"/>
  <c r="E21" i="42"/>
  <c r="AB20" i="42"/>
  <c r="F20" i="42"/>
  <c r="W20" i="42"/>
  <c r="V20" i="42"/>
  <c r="T20" i="42"/>
  <c r="S20" i="42"/>
  <c r="G20" i="42"/>
  <c r="E20" i="42"/>
  <c r="AM1" i="42"/>
  <c r="AL1" i="42"/>
  <c r="AK1" i="42"/>
  <c r="N20" i="41"/>
  <c r="H20" i="41" s="1"/>
  <c r="I20" i="41"/>
  <c r="N21" i="41"/>
  <c r="I21" i="41"/>
  <c r="J21" i="41" s="1"/>
  <c r="K21" i="41" s="1"/>
  <c r="AH21" i="41" s="1"/>
  <c r="N22" i="41"/>
  <c r="H22" i="41"/>
  <c r="I22" i="41"/>
  <c r="N23" i="41"/>
  <c r="H23" i="41"/>
  <c r="I23" i="41"/>
  <c r="J23" i="41" s="1"/>
  <c r="K23" i="41" s="1"/>
  <c r="N24" i="41"/>
  <c r="H24" i="41"/>
  <c r="I24" i="41"/>
  <c r="N25" i="41"/>
  <c r="H25" i="41"/>
  <c r="I25" i="41"/>
  <c r="J25" i="41" s="1"/>
  <c r="K25" i="41" s="1"/>
  <c r="AH25" i="41" s="1"/>
  <c r="N26" i="41"/>
  <c r="H26" i="41"/>
  <c r="I26" i="41"/>
  <c r="N27" i="41"/>
  <c r="H27" i="41"/>
  <c r="I27" i="41"/>
  <c r="J27" i="41" s="1"/>
  <c r="K27" i="41" s="1"/>
  <c r="AE37" i="41"/>
  <c r="AH37" i="41"/>
  <c r="AK37" i="41" s="1"/>
  <c r="AE38" i="41"/>
  <c r="AK38" i="41"/>
  <c r="AE42" i="41"/>
  <c r="AH42" i="41"/>
  <c r="AK42" i="41" s="1"/>
  <c r="AE43" i="41"/>
  <c r="AH43" i="41"/>
  <c r="AK43" i="41"/>
  <c r="AM43" i="41" s="1"/>
  <c r="AE44" i="41"/>
  <c r="AK44" i="41"/>
  <c r="AM44" i="41" s="1"/>
  <c r="AE48" i="41"/>
  <c r="AH48" i="41"/>
  <c r="AK48" i="41"/>
  <c r="AK50" i="41" s="1"/>
  <c r="AE49" i="41"/>
  <c r="AK49" i="41"/>
  <c r="K142" i="41"/>
  <c r="K143" i="41"/>
  <c r="K144" i="41"/>
  <c r="K177" i="41" s="1"/>
  <c r="K145" i="41"/>
  <c r="K146" i="41"/>
  <c r="K147" i="41"/>
  <c r="K148" i="41"/>
  <c r="K149" i="41"/>
  <c r="K150" i="41"/>
  <c r="K151" i="41"/>
  <c r="K152" i="41"/>
  <c r="K153" i="41"/>
  <c r="K154" i="41"/>
  <c r="K155" i="41"/>
  <c r="K156" i="41"/>
  <c r="K157" i="41"/>
  <c r="K158" i="41"/>
  <c r="K159" i="41"/>
  <c r="K160" i="41"/>
  <c r="K161" i="41"/>
  <c r="K162" i="41"/>
  <c r="K163" i="41"/>
  <c r="K164" i="41"/>
  <c r="K165" i="41"/>
  <c r="K166" i="41"/>
  <c r="K167" i="41"/>
  <c r="AH62" i="41"/>
  <c r="AK62" i="41" s="1"/>
  <c r="AE66" i="41"/>
  <c r="AK66" i="41" s="1"/>
  <c r="AH66" i="41"/>
  <c r="AE67" i="41"/>
  <c r="AE68" i="41"/>
  <c r="AK68" i="41" s="1"/>
  <c r="AH68" i="41"/>
  <c r="AE69" i="41"/>
  <c r="AK69" i="41" s="1"/>
  <c r="AH69" i="41"/>
  <c r="AE70" i="41"/>
  <c r="AK70" i="41" s="1"/>
  <c r="AH70" i="41"/>
  <c r="AH71" i="41"/>
  <c r="AK71" i="41" s="1"/>
  <c r="AE73" i="41"/>
  <c r="AE74" i="41"/>
  <c r="AH74" i="41"/>
  <c r="K28" i="41"/>
  <c r="K34" i="41"/>
  <c r="B15" i="46" s="1"/>
  <c r="K39" i="41"/>
  <c r="B16" i="46" s="1"/>
  <c r="K45" i="41"/>
  <c r="B17" i="46" s="1"/>
  <c r="K50" i="41"/>
  <c r="B18" i="46" s="1"/>
  <c r="K55" i="41"/>
  <c r="B19" i="46" s="1"/>
  <c r="K58" i="41"/>
  <c r="K59" i="41"/>
  <c r="K60" i="41"/>
  <c r="K61" i="41"/>
  <c r="K62" i="41"/>
  <c r="J63" i="41"/>
  <c r="B21" i="46" s="1"/>
  <c r="AC20" i="41"/>
  <c r="AC21" i="41"/>
  <c r="AC22" i="41"/>
  <c r="AC23" i="41"/>
  <c r="AC24" i="41"/>
  <c r="AC25" i="41"/>
  <c r="AC26" i="41"/>
  <c r="AC27" i="41"/>
  <c r="AM28" i="41"/>
  <c r="Y37" i="41"/>
  <c r="AF37" i="41"/>
  <c r="AC37" i="41"/>
  <c r="AI37" i="41" s="1"/>
  <c r="AI39" i="41" s="1"/>
  <c r="Y38" i="41"/>
  <c r="AF38" i="41" s="1"/>
  <c r="AL38" i="41" s="1"/>
  <c r="AM38" i="41" s="1"/>
  <c r="Y42" i="41"/>
  <c r="AF42" i="41"/>
  <c r="AC42" i="41"/>
  <c r="AI42" i="41"/>
  <c r="Y43" i="41"/>
  <c r="AF43" i="41"/>
  <c r="AC43" i="41"/>
  <c r="AI43" i="41" s="1"/>
  <c r="AL43" i="41" s="1"/>
  <c r="Y44" i="41"/>
  <c r="AF44" i="41" s="1"/>
  <c r="AL44" i="41" s="1"/>
  <c r="Y48" i="41"/>
  <c r="AF48" i="41" s="1"/>
  <c r="AF50" i="41" s="1"/>
  <c r="AC48" i="41"/>
  <c r="AI48" i="41"/>
  <c r="AL48" i="41"/>
  <c r="Y49" i="41"/>
  <c r="AF49" i="41"/>
  <c r="AL49" i="41" s="1"/>
  <c r="AC58" i="41"/>
  <c r="AC62" i="41"/>
  <c r="AI62" i="41"/>
  <c r="AL62" i="41"/>
  <c r="Y66" i="41"/>
  <c r="AF66" i="41" s="1"/>
  <c r="AC66" i="41"/>
  <c r="AI66" i="41"/>
  <c r="AL66" i="41"/>
  <c r="Y67" i="41"/>
  <c r="AF67" i="41"/>
  <c r="AL67" i="41" s="1"/>
  <c r="Y68" i="41"/>
  <c r="AF68" i="41" s="1"/>
  <c r="AC68" i="41"/>
  <c r="AI68" i="41"/>
  <c r="Y69" i="41"/>
  <c r="AF69" i="41" s="1"/>
  <c r="AF78" i="41" s="1"/>
  <c r="AC69" i="41"/>
  <c r="AI69" i="41"/>
  <c r="Y70" i="41"/>
  <c r="AF70" i="41"/>
  <c r="AC70" i="41"/>
  <c r="AI70" i="41" s="1"/>
  <c r="AI71" i="41"/>
  <c r="AL71" i="41" s="1"/>
  <c r="AF73" i="41"/>
  <c r="AC73" i="41"/>
  <c r="AF74" i="41"/>
  <c r="AL74" i="41" s="1"/>
  <c r="AC74" i="41"/>
  <c r="AK215" i="41"/>
  <c r="AL215" i="41"/>
  <c r="AM215" i="41"/>
  <c r="AK112" i="41"/>
  <c r="AL112" i="41"/>
  <c r="AM112" i="41" s="1"/>
  <c r="AM111" i="41"/>
  <c r="AL111" i="41"/>
  <c r="AK111" i="41"/>
  <c r="AK81" i="41"/>
  <c r="AK104" i="41"/>
  <c r="AL81" i="41"/>
  <c r="AL104" i="41"/>
  <c r="AL109" i="41"/>
  <c r="AK109" i="41"/>
  <c r="I63" i="41"/>
  <c r="B20" i="46" s="1"/>
  <c r="G97" i="41"/>
  <c r="B97" i="41"/>
  <c r="AM77" i="41"/>
  <c r="AM76" i="41"/>
  <c r="B75" i="41"/>
  <c r="AA74" i="41"/>
  <c r="B74" i="41"/>
  <c r="B73" i="41"/>
  <c r="AM72" i="41"/>
  <c r="AM71" i="41"/>
  <c r="AA70" i="41"/>
  <c r="W70" i="41"/>
  <c r="AA69" i="41"/>
  <c r="W69" i="41"/>
  <c r="AA68" i="41"/>
  <c r="W68" i="41"/>
  <c r="AA67" i="41"/>
  <c r="W67" i="41"/>
  <c r="AA66" i="41"/>
  <c r="W66" i="41"/>
  <c r="AA62" i="41"/>
  <c r="AI50" i="41"/>
  <c r="AH50" i="41"/>
  <c r="AE50" i="41"/>
  <c r="W49" i="41"/>
  <c r="AA48" i="41"/>
  <c r="W48" i="41"/>
  <c r="AE45" i="41"/>
  <c r="W44" i="41"/>
  <c r="AA43" i="41"/>
  <c r="W43" i="41"/>
  <c r="AA42" i="41"/>
  <c r="W42" i="41"/>
  <c r="AE39" i="41"/>
  <c r="W38" i="41"/>
  <c r="AA37" i="41"/>
  <c r="W37" i="41"/>
  <c r="H29" i="41"/>
  <c r="Z27" i="41"/>
  <c r="F27" i="41"/>
  <c r="U27" i="41" s="1"/>
  <c r="T27" i="41"/>
  <c r="R27" i="41"/>
  <c r="Q27" i="41"/>
  <c r="G27" i="41"/>
  <c r="E27" i="41"/>
  <c r="Z26" i="41"/>
  <c r="F26" i="41"/>
  <c r="U26" i="41"/>
  <c r="T26" i="41"/>
  <c r="R26" i="41"/>
  <c r="Q26" i="41"/>
  <c r="G26" i="41"/>
  <c r="E26" i="41"/>
  <c r="Z25" i="41"/>
  <c r="F25" i="41"/>
  <c r="U25" i="41" s="1"/>
  <c r="T25" i="41"/>
  <c r="R25" i="41"/>
  <c r="Q25" i="41"/>
  <c r="G25" i="41"/>
  <c r="E25" i="41"/>
  <c r="Z24" i="41"/>
  <c r="F24" i="41"/>
  <c r="U24" i="41" s="1"/>
  <c r="T24" i="41"/>
  <c r="R24" i="41"/>
  <c r="Q24" i="41"/>
  <c r="G24" i="41"/>
  <c r="E24" i="41"/>
  <c r="Z23" i="41"/>
  <c r="F23" i="41"/>
  <c r="U23" i="41"/>
  <c r="T23" i="41"/>
  <c r="R23" i="41"/>
  <c r="Q23" i="41"/>
  <c r="G23" i="41"/>
  <c r="E23" i="41"/>
  <c r="Z22" i="41"/>
  <c r="F22" i="41"/>
  <c r="U22" i="41" s="1"/>
  <c r="T22" i="41"/>
  <c r="R22" i="41"/>
  <c r="Q22" i="41"/>
  <c r="G22" i="41"/>
  <c r="E22" i="41"/>
  <c r="Z21" i="41"/>
  <c r="F21" i="41"/>
  <c r="U21" i="41" s="1"/>
  <c r="T21" i="41"/>
  <c r="Q21" i="41"/>
  <c r="R21" i="41"/>
  <c r="G21" i="41"/>
  <c r="E21" i="41"/>
  <c r="Z20" i="41"/>
  <c r="F20" i="41"/>
  <c r="U20" i="41"/>
  <c r="T20" i="41"/>
  <c r="R20" i="41"/>
  <c r="Q20" i="41"/>
  <c r="G20" i="41"/>
  <c r="E20" i="41"/>
  <c r="AM1" i="41"/>
  <c r="AL1" i="41"/>
  <c r="AK1" i="41"/>
  <c r="AM2" i="40"/>
  <c r="AL2" i="40"/>
  <c r="AK2" i="40"/>
  <c r="AP238" i="30"/>
  <c r="AQ238" i="30"/>
  <c r="AP228" i="30"/>
  <c r="AQ228" i="30"/>
  <c r="F64" i="16"/>
  <c r="D64" i="16"/>
  <c r="E64" i="16"/>
  <c r="R18" i="2"/>
  <c r="M18" i="2"/>
  <c r="R17" i="2"/>
  <c r="L17" i="2" s="1"/>
  <c r="M17" i="2"/>
  <c r="R19" i="2"/>
  <c r="M19" i="2"/>
  <c r="R20" i="2"/>
  <c r="M20" i="2"/>
  <c r="R21" i="2"/>
  <c r="M21" i="2"/>
  <c r="R22" i="2"/>
  <c r="M22" i="2"/>
  <c r="R23" i="2"/>
  <c r="M23" i="2"/>
  <c r="R24" i="2"/>
  <c r="L24" i="2" s="1"/>
  <c r="N24" i="2" s="1"/>
  <c r="O24" i="2" s="1"/>
  <c r="AK34" i="2"/>
  <c r="AN34" i="2"/>
  <c r="AN36" i="2" s="1"/>
  <c r="AK35" i="2"/>
  <c r="AQ35" i="2" s="1"/>
  <c r="AK39" i="2"/>
  <c r="AN40" i="2"/>
  <c r="AK41" i="2"/>
  <c r="AK44" i="2"/>
  <c r="AN44" i="2"/>
  <c r="AN46" i="2" s="1"/>
  <c r="AK45" i="2"/>
  <c r="AQ45" i="2" s="1"/>
  <c r="AN58" i="2"/>
  <c r="AQ58" i="2" s="1"/>
  <c r="AK62" i="2"/>
  <c r="AN62" i="2"/>
  <c r="AK63" i="2"/>
  <c r="AK64" i="2"/>
  <c r="AN64" i="2"/>
  <c r="AK65" i="2"/>
  <c r="AN65" i="2"/>
  <c r="AK66" i="2"/>
  <c r="AN66" i="2"/>
  <c r="AN67" i="2"/>
  <c r="AQ67" i="2" s="1"/>
  <c r="AK69" i="2"/>
  <c r="AK70" i="2"/>
  <c r="AS94" i="2"/>
  <c r="AI18" i="2"/>
  <c r="AI17" i="2"/>
  <c r="AI19" i="2"/>
  <c r="AI20" i="2"/>
  <c r="AI21" i="2"/>
  <c r="AI22" i="2"/>
  <c r="AI23" i="2"/>
  <c r="AI24" i="2"/>
  <c r="AE34" i="2"/>
  <c r="AL34" i="2" s="1"/>
  <c r="AI34" i="2"/>
  <c r="AO34" i="2" s="1"/>
  <c r="AO36" i="2" s="1"/>
  <c r="AE35" i="2"/>
  <c r="AL35" i="2" s="1"/>
  <c r="AR35" i="2" s="1"/>
  <c r="AE39" i="2"/>
  <c r="AL39" i="2" s="1"/>
  <c r="AI40" i="2"/>
  <c r="AO40" i="2" s="1"/>
  <c r="AE41" i="2"/>
  <c r="AL41" i="2" s="1"/>
  <c r="AR41" i="2" s="1"/>
  <c r="AE44" i="2"/>
  <c r="AL44" i="2" s="1"/>
  <c r="AI44" i="2"/>
  <c r="AO44" i="2" s="1"/>
  <c r="AO46" i="2" s="1"/>
  <c r="AE45" i="2"/>
  <c r="AL45" i="2" s="1"/>
  <c r="AR45" i="2" s="1"/>
  <c r="AI54" i="2"/>
  <c r="AI58" i="2"/>
  <c r="AO58" i="2" s="1"/>
  <c r="AR58" i="2" s="1"/>
  <c r="AE62" i="2"/>
  <c r="AL62" i="2" s="1"/>
  <c r="AI62" i="2"/>
  <c r="AO62" i="2" s="1"/>
  <c r="AE63" i="2"/>
  <c r="AL63" i="2" s="1"/>
  <c r="AI63" i="2"/>
  <c r="AE64" i="2"/>
  <c r="AL64" i="2" s="1"/>
  <c r="AI64" i="2"/>
  <c r="AO64" i="2" s="1"/>
  <c r="AE65" i="2"/>
  <c r="AL65" i="2" s="1"/>
  <c r="AI65" i="2"/>
  <c r="AO65" i="2" s="1"/>
  <c r="AE66" i="2"/>
  <c r="AL66" i="2" s="1"/>
  <c r="AI66" i="2"/>
  <c r="AO66" i="2" s="1"/>
  <c r="AO67" i="2"/>
  <c r="AR67" i="2" s="1"/>
  <c r="AL69" i="2"/>
  <c r="AI69" i="2"/>
  <c r="AL70" i="2"/>
  <c r="AI70" i="2"/>
  <c r="B16" i="16"/>
  <c r="F16" i="16" s="1"/>
  <c r="O46" i="2"/>
  <c r="B18" i="16" s="1"/>
  <c r="B19" i="16"/>
  <c r="O55" i="2"/>
  <c r="O56" i="2"/>
  <c r="O57" i="2"/>
  <c r="O58" i="2"/>
  <c r="B78" i="16"/>
  <c r="C78" i="16" s="1"/>
  <c r="B79" i="16"/>
  <c r="C79" i="16" s="1"/>
  <c r="D79" i="16" s="1"/>
  <c r="E79" i="16" s="1"/>
  <c r="F79" i="16" s="1"/>
  <c r="AS25" i="2"/>
  <c r="C64" i="16"/>
  <c r="AR1" i="33"/>
  <c r="AQ1" i="33"/>
  <c r="AP1" i="33"/>
  <c r="AR1" i="32"/>
  <c r="AQ1" i="32"/>
  <c r="AP1" i="32"/>
  <c r="AR1" i="31"/>
  <c r="AQ1" i="31"/>
  <c r="AP1" i="31"/>
  <c r="AR1" i="30"/>
  <c r="AQ1" i="30"/>
  <c r="AP1" i="30"/>
  <c r="AK2" i="36"/>
  <c r="AL2" i="36"/>
  <c r="AM2" i="36"/>
  <c r="AR103" i="2"/>
  <c r="AQ103" i="2"/>
  <c r="AR216" i="2"/>
  <c r="AQ216" i="2"/>
  <c r="AS102" i="2"/>
  <c r="AR102" i="2"/>
  <c r="AQ102" i="2"/>
  <c r="AS1" i="2"/>
  <c r="AR1" i="2"/>
  <c r="AQ1" i="2"/>
  <c r="F92" i="32"/>
  <c r="J92" i="33"/>
  <c r="C92" i="33"/>
  <c r="K92" i="32"/>
  <c r="C92" i="32"/>
  <c r="I92" i="31"/>
  <c r="C92" i="31"/>
  <c r="C92" i="30"/>
  <c r="F92" i="30"/>
  <c r="I93" i="2"/>
  <c r="B93" i="2"/>
  <c r="M80" i="16"/>
  <c r="B74" i="16"/>
  <c r="B67" i="16"/>
  <c r="B4" i="16"/>
  <c r="B5" i="16"/>
  <c r="B7" i="16"/>
  <c r="B8" i="16"/>
  <c r="B9" i="16"/>
  <c r="B3" i="16"/>
  <c r="N71" i="33"/>
  <c r="N70" i="33"/>
  <c r="N69" i="33"/>
  <c r="O182" i="33"/>
  <c r="O181" i="33"/>
  <c r="A289" i="33"/>
  <c r="E288" i="33"/>
  <c r="A288" i="33"/>
  <c r="E286" i="33"/>
  <c r="L23" i="33" s="1"/>
  <c r="A286" i="33"/>
  <c r="N164" i="33"/>
  <c r="N163" i="33"/>
  <c r="N162" i="33"/>
  <c r="N161" i="33"/>
  <c r="N160" i="33"/>
  <c r="N159" i="33"/>
  <c r="N158" i="33"/>
  <c r="N157" i="33"/>
  <c r="N156" i="33"/>
  <c r="N155" i="33"/>
  <c r="N154" i="33"/>
  <c r="N153" i="33"/>
  <c r="N152" i="33"/>
  <c r="N151" i="33"/>
  <c r="N150" i="33"/>
  <c r="N149" i="33"/>
  <c r="N148" i="33"/>
  <c r="N147" i="33"/>
  <c r="N146" i="33"/>
  <c r="N145" i="33"/>
  <c r="N144" i="33"/>
  <c r="N143" i="33"/>
  <c r="N142" i="33"/>
  <c r="N141" i="33"/>
  <c r="N140" i="33"/>
  <c r="N139" i="33"/>
  <c r="AS101" i="33"/>
  <c r="AR101" i="33"/>
  <c r="AT93" i="33"/>
  <c r="AS77" i="33"/>
  <c r="AR77" i="33"/>
  <c r="AT73" i="33"/>
  <c r="AT72" i="33"/>
  <c r="C71" i="33"/>
  <c r="AM70" i="33"/>
  <c r="AL70" i="33"/>
  <c r="AJ70" i="33"/>
  <c r="C70" i="33"/>
  <c r="AM69" i="33"/>
  <c r="AL69" i="33"/>
  <c r="AJ69" i="33"/>
  <c r="C69" i="33"/>
  <c r="AT68" i="33"/>
  <c r="AP67" i="33"/>
  <c r="AS67" i="33" s="1"/>
  <c r="AO67" i="33"/>
  <c r="AR67" i="33" s="1"/>
  <c r="AO66" i="33"/>
  <c r="AL66" i="33"/>
  <c r="AJ66" i="33"/>
  <c r="AP66" i="33" s="1"/>
  <c r="AH66" i="33"/>
  <c r="AF66" i="33"/>
  <c r="AM66" i="33" s="1"/>
  <c r="AD66" i="33"/>
  <c r="AO65" i="33"/>
  <c r="AL65" i="33"/>
  <c r="AJ65" i="33"/>
  <c r="AP65" i="33" s="1"/>
  <c r="AH65" i="33"/>
  <c r="AF65" i="33"/>
  <c r="AM65" i="33" s="1"/>
  <c r="AD65" i="33"/>
  <c r="AO64" i="33"/>
  <c r="AL64" i="33"/>
  <c r="AJ64" i="33"/>
  <c r="AP64" i="33" s="1"/>
  <c r="AH64" i="33"/>
  <c r="AF64" i="33"/>
  <c r="AM64" i="33" s="1"/>
  <c r="AD64" i="33"/>
  <c r="AO63" i="33"/>
  <c r="AL63" i="33"/>
  <c r="AJ63" i="33"/>
  <c r="AP63" i="33" s="1"/>
  <c r="AH63" i="33"/>
  <c r="AF63" i="33"/>
  <c r="AM63" i="33" s="1"/>
  <c r="AD63" i="33"/>
  <c r="AO62" i="33"/>
  <c r="AL62" i="33"/>
  <c r="AJ62" i="33"/>
  <c r="AP62" i="33" s="1"/>
  <c r="AH62" i="33"/>
  <c r="AF62" i="33"/>
  <c r="AM62" i="33" s="1"/>
  <c r="AD62" i="33"/>
  <c r="AO58" i="33"/>
  <c r="AR58" i="33" s="1"/>
  <c r="AJ58" i="33"/>
  <c r="AP58" i="33" s="1"/>
  <c r="AS58" i="33" s="1"/>
  <c r="AH58" i="33"/>
  <c r="N58" i="33"/>
  <c r="N57" i="33"/>
  <c r="N56" i="33"/>
  <c r="N55" i="33"/>
  <c r="AJ54" i="33"/>
  <c r="N54" i="33"/>
  <c r="AL45" i="33"/>
  <c r="AR45" i="33" s="1"/>
  <c r="AF45" i="33"/>
  <c r="AM45" i="33" s="1"/>
  <c r="AS45" i="33" s="1"/>
  <c r="AD45" i="33"/>
  <c r="AO46" i="33"/>
  <c r="AL41" i="33"/>
  <c r="AR41" i="33" s="1"/>
  <c r="AF41" i="33"/>
  <c r="AM41" i="33" s="1"/>
  <c r="AS41" i="33" s="1"/>
  <c r="AD41" i="33"/>
  <c r="AO40" i="33"/>
  <c r="AL40" i="33"/>
  <c r="AJ40" i="33"/>
  <c r="AP40" i="33" s="1"/>
  <c r="AH40" i="33"/>
  <c r="AF40" i="33"/>
  <c r="AM40" i="33" s="1"/>
  <c r="AD40" i="33"/>
  <c r="AO39" i="33"/>
  <c r="AL39" i="33"/>
  <c r="AJ39" i="33"/>
  <c r="AP39" i="33" s="1"/>
  <c r="AH39" i="33"/>
  <c r="AF39" i="33"/>
  <c r="AM39" i="33" s="1"/>
  <c r="AD39" i="33"/>
  <c r="AL35" i="33"/>
  <c r="AR35" i="33" s="1"/>
  <c r="AF35" i="33"/>
  <c r="AM35" i="33" s="1"/>
  <c r="AD35" i="33"/>
  <c r="AO34" i="33"/>
  <c r="AL34" i="33"/>
  <c r="AJ34" i="33"/>
  <c r="AP34" i="33" s="1"/>
  <c r="AH34" i="33"/>
  <c r="AF34" i="33"/>
  <c r="AM34" i="33" s="1"/>
  <c r="AD34" i="33"/>
  <c r="AT25" i="33"/>
  <c r="AJ24" i="33"/>
  <c r="AG24" i="33"/>
  <c r="AA24" i="33"/>
  <c r="Y24" i="33" s="1"/>
  <c r="V24" i="33"/>
  <c r="W24" i="33" s="1"/>
  <c r="S24" i="33"/>
  <c r="K24" i="33" s="1"/>
  <c r="F24" i="33"/>
  <c r="AB24" i="33" s="1"/>
  <c r="AJ23" i="33"/>
  <c r="AG23" i="33"/>
  <c r="AA23" i="33"/>
  <c r="Y23" i="33" s="1"/>
  <c r="V23" i="33"/>
  <c r="W23" i="33" s="1"/>
  <c r="S23" i="33"/>
  <c r="K23" i="33" s="1"/>
  <c r="F23" i="33"/>
  <c r="AB23" i="33" s="1"/>
  <c r="AJ22" i="33"/>
  <c r="AG22" i="33"/>
  <c r="F22" i="33"/>
  <c r="AB22" i="33" s="1"/>
  <c r="AA22" i="33"/>
  <c r="Y22" i="33" s="1"/>
  <c r="V22" i="33"/>
  <c r="W22" i="33" s="1"/>
  <c r="S22" i="33"/>
  <c r="K22" i="33" s="1"/>
  <c r="AJ21" i="33"/>
  <c r="AG21" i="33"/>
  <c r="AA21" i="33"/>
  <c r="Y21" i="33" s="1"/>
  <c r="V21" i="33"/>
  <c r="W21" i="33" s="1"/>
  <c r="S21" i="33"/>
  <c r="K21" i="33" s="1"/>
  <c r="F21" i="33"/>
  <c r="AB21" i="33" s="1"/>
  <c r="AJ20" i="33"/>
  <c r="AG20" i="33"/>
  <c r="AA20" i="33"/>
  <c r="Y20" i="33" s="1"/>
  <c r="V20" i="33"/>
  <c r="W20" i="33" s="1"/>
  <c r="S20" i="33"/>
  <c r="K20" i="33" s="1"/>
  <c r="F20" i="33"/>
  <c r="AB20" i="33" s="1"/>
  <c r="AJ19" i="33"/>
  <c r="AG19" i="33"/>
  <c r="AA19" i="33"/>
  <c r="Y19" i="33" s="1"/>
  <c r="W19" i="33"/>
  <c r="V19" i="33"/>
  <c r="S19" i="33"/>
  <c r="K19" i="33" s="1"/>
  <c r="F19" i="33"/>
  <c r="AB19" i="33" s="1"/>
  <c r="AJ18" i="33"/>
  <c r="AG18" i="33"/>
  <c r="AA18" i="33"/>
  <c r="Y18" i="33" s="1"/>
  <c r="W18" i="33"/>
  <c r="V18" i="33"/>
  <c r="S18" i="33"/>
  <c r="K18" i="33" s="1"/>
  <c r="F18" i="33"/>
  <c r="AB18" i="33" s="1"/>
  <c r="AJ17" i="33"/>
  <c r="AG17" i="33"/>
  <c r="AA17" i="33"/>
  <c r="Y17" i="33" s="1"/>
  <c r="V17" i="33"/>
  <c r="W17" i="33" s="1"/>
  <c r="K17" i="33"/>
  <c r="F17" i="33"/>
  <c r="AB17" i="33" s="1"/>
  <c r="L10" i="33"/>
  <c r="L9" i="33"/>
  <c r="L8" i="33"/>
  <c r="C10" i="33"/>
  <c r="C9" i="33"/>
  <c r="C8" i="33"/>
  <c r="O181" i="32"/>
  <c r="O180" i="32"/>
  <c r="N71" i="32"/>
  <c r="N70" i="32"/>
  <c r="AO70" i="32" s="1"/>
  <c r="N69" i="32"/>
  <c r="A287" i="32"/>
  <c r="F286" i="32"/>
  <c r="A286" i="32"/>
  <c r="F284" i="32"/>
  <c r="L23" i="32" s="1"/>
  <c r="A284" i="32"/>
  <c r="N163" i="32"/>
  <c r="N162" i="32"/>
  <c r="N161" i="32"/>
  <c r="N160" i="32"/>
  <c r="N159" i="32"/>
  <c r="N158" i="32"/>
  <c r="N157" i="32"/>
  <c r="N156" i="32"/>
  <c r="N155" i="32"/>
  <c r="N154" i="32"/>
  <c r="N153" i="32"/>
  <c r="N152" i="32"/>
  <c r="N151" i="32"/>
  <c r="N150" i="32"/>
  <c r="N149" i="32"/>
  <c r="N148" i="32"/>
  <c r="N147" i="32"/>
  <c r="N146" i="32"/>
  <c r="N145" i="32"/>
  <c r="N144" i="32"/>
  <c r="N143" i="32"/>
  <c r="N142" i="32"/>
  <c r="N141" i="32"/>
  <c r="N140" i="32"/>
  <c r="N139" i="32"/>
  <c r="N138" i="32"/>
  <c r="AS101" i="32"/>
  <c r="AR101" i="32"/>
  <c r="AT93" i="32"/>
  <c r="AS77" i="32"/>
  <c r="AR77" i="32"/>
  <c r="AT73" i="32"/>
  <c r="AT72" i="32"/>
  <c r="C71" i="32"/>
  <c r="AM70" i="32"/>
  <c r="AL70" i="32"/>
  <c r="AJ70" i="32"/>
  <c r="C70" i="32"/>
  <c r="AM69" i="32"/>
  <c r="AL69" i="32"/>
  <c r="AJ69" i="32"/>
  <c r="C69" i="32"/>
  <c r="AT68" i="32"/>
  <c r="AP67" i="32"/>
  <c r="AS67" i="32" s="1"/>
  <c r="AO67" i="32"/>
  <c r="AR67" i="32" s="1"/>
  <c r="AO66" i="32"/>
  <c r="AL66" i="32"/>
  <c r="AJ66" i="32"/>
  <c r="AP66" i="32" s="1"/>
  <c r="AH66" i="32"/>
  <c r="AF66" i="32"/>
  <c r="AM66" i="32" s="1"/>
  <c r="AD66" i="32"/>
  <c r="AO65" i="32"/>
  <c r="AL65" i="32"/>
  <c r="AJ65" i="32"/>
  <c r="AP65" i="32" s="1"/>
  <c r="AH65" i="32"/>
  <c r="AF65" i="32"/>
  <c r="AM65" i="32" s="1"/>
  <c r="AD65" i="32"/>
  <c r="AO64" i="32"/>
  <c r="AL64" i="32"/>
  <c r="AJ64" i="32"/>
  <c r="AP64" i="32" s="1"/>
  <c r="AH64" i="32"/>
  <c r="AF64" i="32"/>
  <c r="AM64" i="32" s="1"/>
  <c r="AD64" i="32"/>
  <c r="AO63" i="32"/>
  <c r="AL63" i="32"/>
  <c r="AJ63" i="32"/>
  <c r="AP63" i="32" s="1"/>
  <c r="AH63" i="32"/>
  <c r="AF63" i="32"/>
  <c r="AM63" i="32" s="1"/>
  <c r="AD63" i="32"/>
  <c r="AO62" i="32"/>
  <c r="AL62" i="32"/>
  <c r="AJ62" i="32"/>
  <c r="AP62" i="32" s="1"/>
  <c r="AH62" i="32"/>
  <c r="AF62" i="32"/>
  <c r="AM62" i="32" s="1"/>
  <c r="AD62" i="32"/>
  <c r="AO58" i="32"/>
  <c r="AR58" i="32" s="1"/>
  <c r="AJ58" i="32"/>
  <c r="AP58" i="32" s="1"/>
  <c r="AS58" i="32" s="1"/>
  <c r="AH58" i="32"/>
  <c r="N58" i="32"/>
  <c r="N57" i="32"/>
  <c r="N56" i="32"/>
  <c r="N55" i="32"/>
  <c r="AJ54" i="32"/>
  <c r="N54" i="32"/>
  <c r="AL45" i="32"/>
  <c r="AR45" i="32" s="1"/>
  <c r="AF45" i="32"/>
  <c r="AM45" i="32" s="1"/>
  <c r="AD45" i="32"/>
  <c r="AO46" i="32"/>
  <c r="AP46" i="32"/>
  <c r="AL41" i="32"/>
  <c r="AR41" i="32" s="1"/>
  <c r="AF41" i="32"/>
  <c r="AM41" i="32" s="1"/>
  <c r="AS41" i="32" s="1"/>
  <c r="AD41" i="32"/>
  <c r="AO40" i="32"/>
  <c r="AL40" i="32"/>
  <c r="AJ40" i="32"/>
  <c r="AP40" i="32" s="1"/>
  <c r="AH40" i="32"/>
  <c r="AF40" i="32"/>
  <c r="AM40" i="32" s="1"/>
  <c r="AD40" i="32"/>
  <c r="AO39" i="32"/>
  <c r="AL39" i="32"/>
  <c r="AJ39" i="32"/>
  <c r="AP39" i="32" s="1"/>
  <c r="AH39" i="32"/>
  <c r="AF39" i="32"/>
  <c r="AM39" i="32" s="1"/>
  <c r="AD39" i="32"/>
  <c r="AL35" i="32"/>
  <c r="AR35" i="32" s="1"/>
  <c r="AF35" i="32"/>
  <c r="AM35" i="32" s="1"/>
  <c r="AS35" i="32" s="1"/>
  <c r="AD35" i="32"/>
  <c r="AO34" i="32"/>
  <c r="AL34" i="32"/>
  <c r="AJ34" i="32"/>
  <c r="AP34" i="32" s="1"/>
  <c r="AP36" i="32" s="1"/>
  <c r="AH34" i="32"/>
  <c r="AF34" i="32"/>
  <c r="AM34" i="32" s="1"/>
  <c r="AD34" i="32"/>
  <c r="AT25" i="32"/>
  <c r="AJ24" i="32"/>
  <c r="AG24" i="32"/>
  <c r="AA24" i="32"/>
  <c r="Y24" i="32" s="1"/>
  <c r="V24" i="32"/>
  <c r="W24" i="32" s="1"/>
  <c r="S24" i="32"/>
  <c r="K24" i="32" s="1"/>
  <c r="F24" i="32"/>
  <c r="AB24" i="32" s="1"/>
  <c r="AJ23" i="32"/>
  <c r="AG23" i="32"/>
  <c r="AA23" i="32"/>
  <c r="Y23" i="32" s="1"/>
  <c r="V23" i="32"/>
  <c r="W23" i="32" s="1"/>
  <c r="S23" i="32"/>
  <c r="K23" i="32" s="1"/>
  <c r="F23" i="32"/>
  <c r="AB23" i="32" s="1"/>
  <c r="AJ22" i="32"/>
  <c r="AG22" i="32"/>
  <c r="AA22" i="32"/>
  <c r="Y22" i="32" s="1"/>
  <c r="V22" i="32"/>
  <c r="W22" i="32" s="1"/>
  <c r="S22" i="32"/>
  <c r="K22" i="32" s="1"/>
  <c r="F22" i="32"/>
  <c r="AB22" i="32" s="1"/>
  <c r="AJ21" i="32"/>
  <c r="AG21" i="32"/>
  <c r="AA21" i="32"/>
  <c r="Y21" i="32" s="1"/>
  <c r="V21" i="32"/>
  <c r="W21" i="32" s="1"/>
  <c r="S21" i="32"/>
  <c r="K21" i="32" s="1"/>
  <c r="F21" i="32"/>
  <c r="AB21" i="32" s="1"/>
  <c r="AJ20" i="32"/>
  <c r="AG20" i="32"/>
  <c r="AA20" i="32"/>
  <c r="Y20" i="32" s="1"/>
  <c r="V20" i="32"/>
  <c r="W20" i="32" s="1"/>
  <c r="S20" i="32"/>
  <c r="K20" i="32" s="1"/>
  <c r="F20" i="32"/>
  <c r="AB20" i="32" s="1"/>
  <c r="AJ19" i="32"/>
  <c r="AG19" i="32"/>
  <c r="AA19" i="32"/>
  <c r="Y19" i="32" s="1"/>
  <c r="V19" i="32"/>
  <c r="W19" i="32" s="1"/>
  <c r="S19" i="32"/>
  <c r="K19" i="32" s="1"/>
  <c r="F19" i="32"/>
  <c r="AB19" i="32" s="1"/>
  <c r="AJ18" i="32"/>
  <c r="AG18" i="32"/>
  <c r="AA18" i="32"/>
  <c r="Y18" i="32" s="1"/>
  <c r="V18" i="32"/>
  <c r="W18" i="32" s="1"/>
  <c r="S18" i="32"/>
  <c r="K18" i="32" s="1"/>
  <c r="F18" i="32"/>
  <c r="AB18" i="32" s="1"/>
  <c r="AJ17" i="32"/>
  <c r="AG17" i="32"/>
  <c r="AA17" i="32"/>
  <c r="Y17" i="32" s="1"/>
  <c r="V17" i="32"/>
  <c r="W17" i="32" s="1"/>
  <c r="S17" i="32"/>
  <c r="K17" i="32" s="1"/>
  <c r="F17" i="32"/>
  <c r="AB17" i="32" s="1"/>
  <c r="L10" i="32"/>
  <c r="L9" i="32"/>
  <c r="L8" i="32"/>
  <c r="B10" i="32"/>
  <c r="B9" i="32"/>
  <c r="B8" i="32"/>
  <c r="O182" i="31"/>
  <c r="O181" i="31"/>
  <c r="N182" i="31"/>
  <c r="A182" i="31" s="1"/>
  <c r="N181" i="31"/>
  <c r="A181" i="31" s="1"/>
  <c r="N71" i="31"/>
  <c r="N70" i="31"/>
  <c r="AH70" i="31" s="1"/>
  <c r="N69" i="31"/>
  <c r="A288" i="31"/>
  <c r="G287" i="31"/>
  <c r="A287" i="31"/>
  <c r="G285" i="31"/>
  <c r="L23" i="31" s="1"/>
  <c r="A285" i="31"/>
  <c r="N164" i="31"/>
  <c r="N163" i="31"/>
  <c r="N162" i="31"/>
  <c r="N161" i="31"/>
  <c r="N160" i="31"/>
  <c r="N159" i="31"/>
  <c r="N158" i="31"/>
  <c r="N157" i="31"/>
  <c r="N156" i="31"/>
  <c r="N155" i="31"/>
  <c r="N154" i="31"/>
  <c r="N153" i="31"/>
  <c r="N152" i="31"/>
  <c r="N151" i="31"/>
  <c r="N150" i="31"/>
  <c r="N149" i="31"/>
  <c r="N148" i="31"/>
  <c r="N147" i="31"/>
  <c r="N146" i="31"/>
  <c r="N145" i="31"/>
  <c r="N144" i="31"/>
  <c r="N143" i="31"/>
  <c r="N142" i="31"/>
  <c r="N141" i="31"/>
  <c r="N140" i="31"/>
  <c r="N139" i="31"/>
  <c r="AS101" i="31"/>
  <c r="AR101" i="31"/>
  <c r="AT93" i="31"/>
  <c r="AS77" i="31"/>
  <c r="AR77" i="31"/>
  <c r="AT73" i="31"/>
  <c r="AT72" i="31"/>
  <c r="C71" i="31"/>
  <c r="AM70" i="31"/>
  <c r="AL70" i="31"/>
  <c r="AJ70" i="31"/>
  <c r="C70" i="31"/>
  <c r="AM69" i="31"/>
  <c r="AL69" i="31"/>
  <c r="AJ69" i="31"/>
  <c r="C69" i="31"/>
  <c r="AT68" i="31"/>
  <c r="AP67" i="31"/>
  <c r="AS67" i="31" s="1"/>
  <c r="AO67" i="31"/>
  <c r="AR67" i="31" s="1"/>
  <c r="AO66" i="31"/>
  <c r="AL66" i="31"/>
  <c r="AJ66" i="31"/>
  <c r="AP66" i="31" s="1"/>
  <c r="AH66" i="31"/>
  <c r="AF66" i="31"/>
  <c r="AM66" i="31" s="1"/>
  <c r="AD66" i="31"/>
  <c r="AO65" i="31"/>
  <c r="AL65" i="31"/>
  <c r="AJ65" i="31"/>
  <c r="AP65" i="31" s="1"/>
  <c r="AH65" i="31"/>
  <c r="AF65" i="31"/>
  <c r="AM65" i="31" s="1"/>
  <c r="AD65" i="31"/>
  <c r="AO64" i="31"/>
  <c r="AL64" i="31"/>
  <c r="AJ64" i="31"/>
  <c r="AP64" i="31" s="1"/>
  <c r="AH64" i="31"/>
  <c r="AF64" i="31"/>
  <c r="AM64" i="31" s="1"/>
  <c r="AD64" i="31"/>
  <c r="AO63" i="31"/>
  <c r="AL63" i="31"/>
  <c r="AJ63" i="31"/>
  <c r="AP63" i="31" s="1"/>
  <c r="AH63" i="31"/>
  <c r="AF63" i="31"/>
  <c r="AM63" i="31" s="1"/>
  <c r="AD63" i="31"/>
  <c r="AO62" i="31"/>
  <c r="AL62" i="31"/>
  <c r="AJ62" i="31"/>
  <c r="AP62" i="31" s="1"/>
  <c r="AH62" i="31"/>
  <c r="AF62" i="31"/>
  <c r="AM62" i="31" s="1"/>
  <c r="AD62" i="31"/>
  <c r="AO58" i="31"/>
  <c r="AR58" i="31" s="1"/>
  <c r="AJ58" i="31"/>
  <c r="AP58" i="31" s="1"/>
  <c r="AS58" i="31" s="1"/>
  <c r="AH58" i="31"/>
  <c r="N58" i="31"/>
  <c r="N57" i="31"/>
  <c r="N56" i="31"/>
  <c r="N55" i="31"/>
  <c r="AJ54" i="31"/>
  <c r="AO46" i="31"/>
  <c r="AL45" i="31"/>
  <c r="AR45" i="31" s="1"/>
  <c r="AF45" i="31"/>
  <c r="AM45" i="31" s="1"/>
  <c r="AS45" i="31" s="1"/>
  <c r="AD45" i="31"/>
  <c r="AP46" i="31"/>
  <c r="AL41" i="31"/>
  <c r="AR41" i="31" s="1"/>
  <c r="AF41" i="31"/>
  <c r="AM41" i="31" s="1"/>
  <c r="AS41" i="31" s="1"/>
  <c r="AD41" i="31"/>
  <c r="AO40" i="31"/>
  <c r="AO39" i="31"/>
  <c r="AL40" i="31"/>
  <c r="AJ40" i="31"/>
  <c r="AP40" i="31" s="1"/>
  <c r="AH40" i="31"/>
  <c r="AF40" i="31"/>
  <c r="AM40" i="31" s="1"/>
  <c r="AD40" i="31"/>
  <c r="AL39" i="31"/>
  <c r="AJ39" i="31"/>
  <c r="AP39" i="31" s="1"/>
  <c r="AH39" i="31"/>
  <c r="AF39" i="31"/>
  <c r="AM39" i="31" s="1"/>
  <c r="AD39" i="31"/>
  <c r="AL35" i="31"/>
  <c r="AR35" i="31" s="1"/>
  <c r="AF35" i="31"/>
  <c r="AM35" i="31" s="1"/>
  <c r="AS35" i="31" s="1"/>
  <c r="AD35" i="31"/>
  <c r="AO34" i="31"/>
  <c r="AO36" i="31" s="1"/>
  <c r="AL34" i="31"/>
  <c r="AJ34" i="31"/>
  <c r="AP34" i="31" s="1"/>
  <c r="AP36" i="31" s="1"/>
  <c r="AH34" i="31"/>
  <c r="AF34" i="31"/>
  <c r="AM34" i="31" s="1"/>
  <c r="AD34" i="31"/>
  <c r="AT25" i="31"/>
  <c r="AJ24" i="31"/>
  <c r="AG24" i="31"/>
  <c r="AA24" i="31"/>
  <c r="Y24" i="31" s="1"/>
  <c r="V24" i="31"/>
  <c r="W24" i="31" s="1"/>
  <c r="S24" i="31"/>
  <c r="K24" i="31" s="1"/>
  <c r="AB24" i="31"/>
  <c r="AJ23" i="31"/>
  <c r="AG23" i="31"/>
  <c r="AA23" i="31"/>
  <c r="Y23" i="31" s="1"/>
  <c r="V23" i="31"/>
  <c r="W23" i="31" s="1"/>
  <c r="S23" i="31"/>
  <c r="K23" i="31" s="1"/>
  <c r="AB23" i="31"/>
  <c r="AJ22" i="31"/>
  <c r="AG22" i="31"/>
  <c r="AA22" i="31"/>
  <c r="Y22" i="31" s="1"/>
  <c r="V22" i="31"/>
  <c r="W22" i="31" s="1"/>
  <c r="S22" i="31"/>
  <c r="K22" i="31" s="1"/>
  <c r="AB22" i="31"/>
  <c r="AJ21" i="31"/>
  <c r="AG21" i="31"/>
  <c r="AA21" i="31"/>
  <c r="Y21" i="31" s="1"/>
  <c r="V21" i="31"/>
  <c r="W21" i="31" s="1"/>
  <c r="S21" i="31"/>
  <c r="K21" i="31" s="1"/>
  <c r="AB21" i="31"/>
  <c r="AJ20" i="31"/>
  <c r="AG20" i="31"/>
  <c r="AA20" i="31"/>
  <c r="Y20" i="31" s="1"/>
  <c r="V20" i="31"/>
  <c r="W20" i="31" s="1"/>
  <c r="S20" i="31"/>
  <c r="K20" i="31" s="1"/>
  <c r="AB20" i="31"/>
  <c r="AJ19" i="31"/>
  <c r="AG19" i="31"/>
  <c r="AA19" i="31"/>
  <c r="Y19" i="31" s="1"/>
  <c r="V19" i="31"/>
  <c r="W19" i="31" s="1"/>
  <c r="S19" i="31"/>
  <c r="K19" i="31" s="1"/>
  <c r="AB19" i="31"/>
  <c r="AJ18" i="31"/>
  <c r="AG18" i="31"/>
  <c r="AA18" i="31"/>
  <c r="Y18" i="31" s="1"/>
  <c r="V18" i="31"/>
  <c r="W18" i="31" s="1"/>
  <c r="S18" i="31"/>
  <c r="K18" i="31" s="1"/>
  <c r="AB18" i="31"/>
  <c r="AJ17" i="31"/>
  <c r="AG17" i="31"/>
  <c r="AA17" i="31"/>
  <c r="Y17" i="31" s="1"/>
  <c r="V17" i="31"/>
  <c r="W17" i="31" s="1"/>
  <c r="K17" i="31"/>
  <c r="AB17" i="31"/>
  <c r="L10" i="31"/>
  <c r="L9" i="31"/>
  <c r="L8" i="31"/>
  <c r="B10" i="31"/>
  <c r="B9" i="31"/>
  <c r="B8" i="31"/>
  <c r="B289" i="15"/>
  <c r="B288" i="15"/>
  <c r="B280" i="15"/>
  <c r="B279" i="15"/>
  <c r="B231" i="15"/>
  <c r="B232" i="15"/>
  <c r="B223" i="15"/>
  <c r="B175" i="15"/>
  <c r="B174" i="15"/>
  <c r="B118" i="15"/>
  <c r="B117" i="15"/>
  <c r="B108" i="15"/>
  <c r="AS101" i="30"/>
  <c r="AR101" i="30"/>
  <c r="AR100" i="2"/>
  <c r="AQ100" i="2"/>
  <c r="G285" i="30"/>
  <c r="L24" i="30" s="1"/>
  <c r="G287" i="30"/>
  <c r="A288" i="30"/>
  <c r="A287" i="30"/>
  <c r="B8" i="30"/>
  <c r="A285" i="30"/>
  <c r="N54" i="31"/>
  <c r="N70" i="30"/>
  <c r="AO70" i="30" s="1"/>
  <c r="B9" i="30"/>
  <c r="B10" i="30"/>
  <c r="N163" i="30"/>
  <c r="N162" i="30"/>
  <c r="N161" i="30"/>
  <c r="N160" i="30"/>
  <c r="N159" i="30"/>
  <c r="N158" i="30"/>
  <c r="N157" i="30"/>
  <c r="N156" i="30"/>
  <c r="N155" i="30"/>
  <c r="N154" i="30"/>
  <c r="N153" i="30"/>
  <c r="N152" i="30"/>
  <c r="N151" i="30"/>
  <c r="N150" i="30"/>
  <c r="N149" i="30"/>
  <c r="N148" i="30"/>
  <c r="N147" i="30"/>
  <c r="N146" i="30"/>
  <c r="N145" i="30"/>
  <c r="N144" i="30"/>
  <c r="N143" i="30"/>
  <c r="N142" i="30"/>
  <c r="N141" i="30"/>
  <c r="N140" i="30"/>
  <c r="N139" i="30"/>
  <c r="N138" i="30"/>
  <c r="AT93" i="30"/>
  <c r="AS77" i="30"/>
  <c r="AR77" i="30"/>
  <c r="AT73" i="30"/>
  <c r="AT72" i="30"/>
  <c r="C71" i="30"/>
  <c r="AM70" i="30"/>
  <c r="AL70" i="30"/>
  <c r="AJ70" i="30"/>
  <c r="C70" i="30"/>
  <c r="AM69" i="30"/>
  <c r="AL69" i="30"/>
  <c r="AJ69" i="30"/>
  <c r="C69" i="30"/>
  <c r="AT68" i="30"/>
  <c r="AP67" i="30"/>
  <c r="AS67" i="30" s="1"/>
  <c r="AO67" i="30"/>
  <c r="AR67" i="30" s="1"/>
  <c r="AO66" i="30"/>
  <c r="AL66" i="30"/>
  <c r="AJ66" i="30"/>
  <c r="AP66" i="30" s="1"/>
  <c r="AH66" i="30"/>
  <c r="AF66" i="30"/>
  <c r="AM66" i="30" s="1"/>
  <c r="AD66" i="30"/>
  <c r="AO65" i="30"/>
  <c r="AL65" i="30"/>
  <c r="AJ65" i="30"/>
  <c r="AP65" i="30" s="1"/>
  <c r="AH65" i="30"/>
  <c r="AF65" i="30"/>
  <c r="AM65" i="30" s="1"/>
  <c r="AD65" i="30"/>
  <c r="AO64" i="30"/>
  <c r="AL64" i="30"/>
  <c r="AJ64" i="30"/>
  <c r="AP64" i="30" s="1"/>
  <c r="AH64" i="30"/>
  <c r="AF64" i="30"/>
  <c r="AM64" i="30" s="1"/>
  <c r="AD64" i="30"/>
  <c r="AO63" i="30"/>
  <c r="AL63" i="30"/>
  <c r="AJ63" i="30"/>
  <c r="AP63" i="30" s="1"/>
  <c r="AH63" i="30"/>
  <c r="AF63" i="30"/>
  <c r="AM63" i="30" s="1"/>
  <c r="AD63" i="30"/>
  <c r="AO62" i="30"/>
  <c r="AL62" i="30"/>
  <c r="AJ62" i="30"/>
  <c r="AP62" i="30" s="1"/>
  <c r="AH62" i="30"/>
  <c r="AF62" i="30"/>
  <c r="AM62" i="30" s="1"/>
  <c r="AD62" i="30"/>
  <c r="AO58" i="30"/>
  <c r="AR58" i="30" s="1"/>
  <c r="AJ58" i="30"/>
  <c r="AP58" i="30" s="1"/>
  <c r="AS58" i="30" s="1"/>
  <c r="AH58" i="30"/>
  <c r="N58" i="30"/>
  <c r="N57" i="30"/>
  <c r="N56" i="30"/>
  <c r="N55" i="30"/>
  <c r="AJ54" i="30"/>
  <c r="AL45" i="30"/>
  <c r="AR45" i="30" s="1"/>
  <c r="AF45" i="30"/>
  <c r="AM45" i="30" s="1"/>
  <c r="AS45" i="30" s="1"/>
  <c r="AD45" i="30"/>
  <c r="AO46" i="30"/>
  <c r="AP46" i="30"/>
  <c r="AL41" i="30"/>
  <c r="AR41" i="30" s="1"/>
  <c r="AF41" i="30"/>
  <c r="AM41" i="30" s="1"/>
  <c r="AS41" i="30" s="1"/>
  <c r="AD41" i="30"/>
  <c r="AO40" i="30"/>
  <c r="AL40" i="30"/>
  <c r="AJ40" i="30"/>
  <c r="AP40" i="30" s="1"/>
  <c r="AH40" i="30"/>
  <c r="AF40" i="30"/>
  <c r="AM40" i="30" s="1"/>
  <c r="AD40" i="30"/>
  <c r="AO39" i="30"/>
  <c r="AL39" i="30"/>
  <c r="AJ39" i="30"/>
  <c r="AP39" i="30" s="1"/>
  <c r="AH39" i="30"/>
  <c r="AF39" i="30"/>
  <c r="AM39" i="30" s="1"/>
  <c r="AD39" i="30"/>
  <c r="AL35" i="30"/>
  <c r="AR35" i="30" s="1"/>
  <c r="AF35" i="30"/>
  <c r="AM35" i="30" s="1"/>
  <c r="AS35" i="30" s="1"/>
  <c r="AD35" i="30"/>
  <c r="AO34" i="30"/>
  <c r="AL34" i="30"/>
  <c r="AJ34" i="30"/>
  <c r="AP34" i="30" s="1"/>
  <c r="AP36" i="30" s="1"/>
  <c r="AH34" i="30"/>
  <c r="AF34" i="30"/>
  <c r="AM34" i="30" s="1"/>
  <c r="AD34" i="30"/>
  <c r="AT25" i="30"/>
  <c r="AJ24" i="30"/>
  <c r="AG24" i="30"/>
  <c r="AA24" i="30"/>
  <c r="Y24" i="30" s="1"/>
  <c r="V24" i="30"/>
  <c r="W24" i="30" s="1"/>
  <c r="S24" i="30"/>
  <c r="F24" i="30"/>
  <c r="AJ23" i="30"/>
  <c r="AG23" i="30"/>
  <c r="AA23" i="30"/>
  <c r="Y23" i="30" s="1"/>
  <c r="V23" i="30"/>
  <c r="W23" i="30" s="1"/>
  <c r="S23" i="30"/>
  <c r="F23" i="30"/>
  <c r="AJ22" i="30"/>
  <c r="AG22" i="30"/>
  <c r="AA22" i="30"/>
  <c r="Y22" i="30" s="1"/>
  <c r="V22" i="30"/>
  <c r="W22" i="30" s="1"/>
  <c r="S22" i="30"/>
  <c r="F22" i="30"/>
  <c r="AJ21" i="30"/>
  <c r="AG21" i="30"/>
  <c r="AA21" i="30"/>
  <c r="Y21" i="30" s="1"/>
  <c r="V21" i="30"/>
  <c r="W21" i="30" s="1"/>
  <c r="S21" i="30"/>
  <c r="F21" i="30"/>
  <c r="AJ20" i="30"/>
  <c r="AG20" i="30"/>
  <c r="AA20" i="30"/>
  <c r="Y20" i="30" s="1"/>
  <c r="V20" i="30"/>
  <c r="W20" i="30" s="1"/>
  <c r="S20" i="30"/>
  <c r="F20" i="30"/>
  <c r="AJ19" i="30"/>
  <c r="AG19" i="30"/>
  <c r="AA19" i="30"/>
  <c r="Y19" i="30" s="1"/>
  <c r="V19" i="30"/>
  <c r="W19" i="30" s="1"/>
  <c r="S19" i="30"/>
  <c r="F19" i="30"/>
  <c r="AJ18" i="30"/>
  <c r="AG18" i="30"/>
  <c r="AA18" i="30"/>
  <c r="Y18" i="30" s="1"/>
  <c r="V18" i="30"/>
  <c r="W18" i="30" s="1"/>
  <c r="S18" i="30"/>
  <c r="F18" i="30"/>
  <c r="AJ17" i="30"/>
  <c r="AG17" i="30"/>
  <c r="AA17" i="30"/>
  <c r="Y17" i="30" s="1"/>
  <c r="V17" i="30"/>
  <c r="W17" i="30" s="1"/>
  <c r="S17" i="30"/>
  <c r="F17" i="30" s="1"/>
  <c r="N54" i="30"/>
  <c r="AF18" i="2"/>
  <c r="AF19" i="2"/>
  <c r="AF20" i="2"/>
  <c r="AF21" i="2"/>
  <c r="AF22" i="2"/>
  <c r="AF23" i="2"/>
  <c r="AF24" i="2"/>
  <c r="AF17" i="2"/>
  <c r="AG44" i="2"/>
  <c r="AG40" i="2"/>
  <c r="AG39" i="2"/>
  <c r="AG34" i="2"/>
  <c r="AG64" i="2"/>
  <c r="AG65" i="2"/>
  <c r="AG66" i="2"/>
  <c r="AG62" i="2"/>
  <c r="AC63" i="2"/>
  <c r="AC64" i="2"/>
  <c r="AC65" i="2"/>
  <c r="AC66" i="2"/>
  <c r="AC62" i="2"/>
  <c r="AG58" i="2"/>
  <c r="AC45" i="2"/>
  <c r="AC44" i="2"/>
  <c r="AC40" i="2"/>
  <c r="AC41" i="2"/>
  <c r="AC39" i="2"/>
  <c r="AC35" i="2"/>
  <c r="AC34" i="2"/>
  <c r="AS72" i="2"/>
  <c r="AS73" i="2"/>
  <c r="AS68" i="2"/>
  <c r="N181" i="30"/>
  <c r="F181" i="30" s="1"/>
  <c r="U18" i="2"/>
  <c r="V18" i="2" s="1"/>
  <c r="U19" i="2"/>
  <c r="V19" i="2" s="1"/>
  <c r="U20" i="2"/>
  <c r="U21" i="2"/>
  <c r="V21" i="2" s="1"/>
  <c r="U22" i="2"/>
  <c r="V22" i="2" s="1"/>
  <c r="U23" i="2"/>
  <c r="V23" i="2" s="1"/>
  <c r="U24" i="2"/>
  <c r="V24" i="2" s="1"/>
  <c r="U17" i="2"/>
  <c r="V17" i="2" s="1"/>
  <c r="V20" i="2"/>
  <c r="K92" i="33"/>
  <c r="E92" i="33"/>
  <c r="H19" i="2"/>
  <c r="H22" i="2"/>
  <c r="H23" i="2"/>
  <c r="H18" i="2"/>
  <c r="H20" i="2"/>
  <c r="H21" i="2"/>
  <c r="K92" i="31"/>
  <c r="N180" i="30"/>
  <c r="F180" i="30" s="1"/>
  <c r="G92" i="31"/>
  <c r="B61" i="15"/>
  <c r="B60" i="15"/>
  <c r="B69" i="2"/>
  <c r="B70" i="2"/>
  <c r="B71" i="2"/>
  <c r="N69" i="30"/>
  <c r="B52" i="15"/>
  <c r="N71" i="30"/>
  <c r="G92" i="30"/>
  <c r="K92" i="30"/>
  <c r="D16" i="46"/>
  <c r="G16" i="46" s="1"/>
  <c r="C20" i="46"/>
  <c r="C21" i="46"/>
  <c r="C39" i="46" s="1"/>
  <c r="D15" i="46"/>
  <c r="F20" i="46"/>
  <c r="C18" i="46"/>
  <c r="F18" i="46"/>
  <c r="C19" i="46"/>
  <c r="C78" i="46"/>
  <c r="D78" i="46" s="1"/>
  <c r="E17" i="46"/>
  <c r="C15" i="46"/>
  <c r="E20" i="46"/>
  <c r="F28" i="46"/>
  <c r="F38" i="46" s="1"/>
  <c r="F15" i="46"/>
  <c r="G15" i="46" s="1"/>
  <c r="F16" i="46"/>
  <c r="H78" i="46"/>
  <c r="C38" i="46"/>
  <c r="C28" i="46"/>
  <c r="E15" i="46"/>
  <c r="E21" i="46"/>
  <c r="E39" i="46" s="1"/>
  <c r="C79" i="46"/>
  <c r="H79" i="46" s="1"/>
  <c r="E18" i="46"/>
  <c r="C16" i="46"/>
  <c r="E16" i="46"/>
  <c r="E19" i="46"/>
  <c r="F19" i="46"/>
  <c r="F17" i="46"/>
  <c r="D17" i="46"/>
  <c r="F21" i="46"/>
  <c r="F39" i="46" s="1"/>
  <c r="D18" i="46"/>
  <c r="E28" i="46"/>
  <c r="E38" i="46"/>
  <c r="D21" i="46"/>
  <c r="D39" i="46"/>
  <c r="D20" i="46"/>
  <c r="D28" i="46"/>
  <c r="D38" i="46" s="1"/>
  <c r="D19" i="46"/>
  <c r="I27" i="44"/>
  <c r="J27" i="44" s="1"/>
  <c r="K27" i="44" s="1"/>
  <c r="G19" i="46"/>
  <c r="G18" i="46"/>
  <c r="G20" i="46"/>
  <c r="I78" i="46"/>
  <c r="C97" i="41"/>
  <c r="B31" i="46"/>
  <c r="D31" i="46" s="1"/>
  <c r="I95" i="41"/>
  <c r="I93" i="41"/>
  <c r="I89" i="41"/>
  <c r="H97" i="41"/>
  <c r="I91" i="41"/>
  <c r="I98" i="41"/>
  <c r="AC74" i="44" l="1"/>
  <c r="C102" i="15"/>
  <c r="N74" i="30"/>
  <c r="AR66" i="33"/>
  <c r="N59" i="33"/>
  <c r="AT58" i="33"/>
  <c r="N74" i="32"/>
  <c r="P180" i="32"/>
  <c r="AL42" i="32"/>
  <c r="AR65" i="32"/>
  <c r="AR34" i="31"/>
  <c r="AR36" i="31" s="1"/>
  <c r="N74" i="31"/>
  <c r="P182" i="33"/>
  <c r="AL36" i="33"/>
  <c r="AR63" i="33"/>
  <c r="P181" i="33"/>
  <c r="P181" i="31"/>
  <c r="N59" i="31"/>
  <c r="H17" i="2"/>
  <c r="AR39" i="30"/>
  <c r="AO42" i="30"/>
  <c r="AR228" i="30"/>
  <c r="AR62" i="30"/>
  <c r="AB17" i="30"/>
  <c r="AB18" i="30"/>
  <c r="AB19" i="30"/>
  <c r="AB20" i="30"/>
  <c r="K20" i="30"/>
  <c r="AB21" i="30"/>
  <c r="AB22" i="30"/>
  <c r="AB23" i="30"/>
  <c r="AB24" i="30"/>
  <c r="K19" i="30"/>
  <c r="K21" i="30"/>
  <c r="K23" i="30"/>
  <c r="K24" i="30"/>
  <c r="M24" i="30" s="1"/>
  <c r="N24" i="30" s="1"/>
  <c r="AP24" i="30" s="1"/>
  <c r="K18" i="30"/>
  <c r="AT67" i="32"/>
  <c r="N59" i="32"/>
  <c r="O181" i="30"/>
  <c r="AQ40" i="2"/>
  <c r="O59" i="2"/>
  <c r="O180" i="30"/>
  <c r="AQ66" i="2"/>
  <c r="N74" i="33"/>
  <c r="C215" i="15"/>
  <c r="N59" i="30"/>
  <c r="AL42" i="33"/>
  <c r="AR64" i="31"/>
  <c r="AR62" i="33"/>
  <c r="AS63" i="33"/>
  <c r="AR65" i="33"/>
  <c r="AS66" i="33"/>
  <c r="AT66" i="33" s="1"/>
  <c r="AO42" i="33"/>
  <c r="AR66" i="31"/>
  <c r="AR63" i="30"/>
  <c r="P182" i="31"/>
  <c r="AL46" i="31"/>
  <c r="AR40" i="33"/>
  <c r="AS40" i="33"/>
  <c r="AR64" i="30"/>
  <c r="AM46" i="33"/>
  <c r="AT67" i="33"/>
  <c r="AP70" i="33"/>
  <c r="AS70" i="33" s="1"/>
  <c r="AR63" i="32"/>
  <c r="AS64" i="33"/>
  <c r="AR46" i="33"/>
  <c r="AR40" i="30"/>
  <c r="AR40" i="32"/>
  <c r="AS64" i="32"/>
  <c r="AR66" i="32"/>
  <c r="AL36" i="30"/>
  <c r="AR65" i="30"/>
  <c r="K26" i="33"/>
  <c r="AS39" i="33"/>
  <c r="AP42" i="33"/>
  <c r="AP46" i="33"/>
  <c r="AS46" i="33"/>
  <c r="AR65" i="31"/>
  <c r="AR39" i="32"/>
  <c r="AL46" i="32"/>
  <c r="AT58" i="32"/>
  <c r="AL46" i="33"/>
  <c r="AR34" i="30"/>
  <c r="AR36" i="30" s="1"/>
  <c r="AM74" i="31"/>
  <c r="AR39" i="33"/>
  <c r="AR46" i="32"/>
  <c r="AL42" i="30"/>
  <c r="AS63" i="31"/>
  <c r="AM74" i="33"/>
  <c r="K26" i="31"/>
  <c r="AR64" i="32"/>
  <c r="AT45" i="33"/>
  <c r="AT41" i="33"/>
  <c r="AS34" i="30"/>
  <c r="AS36" i="30" s="1"/>
  <c r="AT58" i="31"/>
  <c r="AM42" i="33"/>
  <c r="AQ39" i="2"/>
  <c r="AR39" i="31"/>
  <c r="AO42" i="31"/>
  <c r="AL74" i="31"/>
  <c r="AR63" i="31"/>
  <c r="AS64" i="31"/>
  <c r="AS65" i="31"/>
  <c r="AL36" i="31"/>
  <c r="AT45" i="31"/>
  <c r="AT41" i="31"/>
  <c r="AR62" i="31"/>
  <c r="AS40" i="31"/>
  <c r="AS66" i="31"/>
  <c r="AC73" i="45"/>
  <c r="C159" i="15"/>
  <c r="AK74" i="45"/>
  <c r="AN74" i="45" s="1"/>
  <c r="AO74" i="45" s="1"/>
  <c r="AC74" i="45"/>
  <c r="B15" i="16"/>
  <c r="E15" i="16" s="1"/>
  <c r="AO63" i="2"/>
  <c r="AR63" i="2" s="1"/>
  <c r="I21" i="43"/>
  <c r="J21" i="43" s="1"/>
  <c r="K21" i="43" s="1"/>
  <c r="AJ21" i="43" s="1"/>
  <c r="E28" i="16"/>
  <c r="F19" i="16"/>
  <c r="C17" i="16"/>
  <c r="D18" i="16"/>
  <c r="F20" i="16"/>
  <c r="L20" i="31"/>
  <c r="M20" i="31" s="1"/>
  <c r="N20" i="31" s="1"/>
  <c r="AM20" i="31" s="1"/>
  <c r="D19" i="16"/>
  <c r="I98" i="44"/>
  <c r="I22" i="44"/>
  <c r="J22" i="44" s="1"/>
  <c r="K22" i="44" s="1"/>
  <c r="AK22" i="44" s="1"/>
  <c r="I20" i="44"/>
  <c r="J20" i="44" s="1"/>
  <c r="K20" i="44" s="1"/>
  <c r="AJ20" i="44" s="1"/>
  <c r="I26" i="44"/>
  <c r="J26" i="44" s="1"/>
  <c r="K26" i="44" s="1"/>
  <c r="AJ26" i="44" s="1"/>
  <c r="I21" i="44"/>
  <c r="J21" i="44" s="1"/>
  <c r="K21" i="44" s="1"/>
  <c r="AH21" i="44" s="1"/>
  <c r="I89" i="44"/>
  <c r="L93" i="31"/>
  <c r="I24" i="44"/>
  <c r="J24" i="44" s="1"/>
  <c r="K24" i="44" s="1"/>
  <c r="AK24" i="44" s="1"/>
  <c r="AE21" i="41"/>
  <c r="AK21" i="41" s="1"/>
  <c r="I95" i="44"/>
  <c r="AK74" i="2"/>
  <c r="AS103" i="2"/>
  <c r="I93" i="44"/>
  <c r="I91" i="44"/>
  <c r="AS40" i="32"/>
  <c r="AS66" i="32"/>
  <c r="AH70" i="32"/>
  <c r="AM42" i="32"/>
  <c r="AS45" i="32"/>
  <c r="AT45" i="32" s="1"/>
  <c r="AM46" i="32"/>
  <c r="AO42" i="32"/>
  <c r="AM36" i="32"/>
  <c r="AM74" i="32"/>
  <c r="AR62" i="32"/>
  <c r="AS65" i="32"/>
  <c r="AS39" i="32"/>
  <c r="AT41" i="32"/>
  <c r="AS63" i="32"/>
  <c r="B39" i="16"/>
  <c r="D21" i="16"/>
  <c r="D39" i="16" s="1"/>
  <c r="AS35" i="2"/>
  <c r="AK42" i="2"/>
  <c r="E78" i="46"/>
  <c r="K78" i="46"/>
  <c r="AM36" i="31"/>
  <c r="AS34" i="31"/>
  <c r="AP42" i="31"/>
  <c r="AH58" i="41"/>
  <c r="AK58" i="41" s="1"/>
  <c r="AI58" i="41"/>
  <c r="AL58" i="41" s="1"/>
  <c r="AA58" i="41"/>
  <c r="AT35" i="31"/>
  <c r="I79" i="46"/>
  <c r="I80" i="46" s="1"/>
  <c r="H80" i="46"/>
  <c r="AM46" i="31"/>
  <c r="AT67" i="31"/>
  <c r="AS39" i="31"/>
  <c r="AM42" i="31"/>
  <c r="C80" i="46"/>
  <c r="G28" i="46"/>
  <c r="C18" i="16"/>
  <c r="D79" i="46"/>
  <c r="D80" i="46" s="1"/>
  <c r="AL46" i="30"/>
  <c r="AS64" i="30"/>
  <c r="AR66" i="30"/>
  <c r="AS46" i="31"/>
  <c r="M23" i="31"/>
  <c r="N23" i="31" s="1"/>
  <c r="AO23" i="31" s="1"/>
  <c r="AS34" i="32"/>
  <c r="AS36" i="32" s="1"/>
  <c r="AS62" i="33"/>
  <c r="AR34" i="32"/>
  <c r="AO36" i="32"/>
  <c r="AM36" i="33"/>
  <c r="AS35" i="33"/>
  <c r="AT35" i="33" s="1"/>
  <c r="AS65" i="33"/>
  <c r="AL69" i="41"/>
  <c r="AL68" i="41"/>
  <c r="AM68" i="41" s="1"/>
  <c r="AL42" i="41"/>
  <c r="AF45" i="41"/>
  <c r="AK45" i="41"/>
  <c r="AO68" i="42"/>
  <c r="G21" i="46"/>
  <c r="AT35" i="30"/>
  <c r="AT45" i="30"/>
  <c r="AL74" i="30"/>
  <c r="AS63" i="30"/>
  <c r="AS65" i="30"/>
  <c r="AS62" i="31"/>
  <c r="AR40" i="31"/>
  <c r="AL74" i="32"/>
  <c r="K26" i="32"/>
  <c r="P181" i="32"/>
  <c r="AL50" i="41"/>
  <c r="AN39" i="42"/>
  <c r="AO37" i="42"/>
  <c r="C22" i="47"/>
  <c r="C23" i="47" s="1"/>
  <c r="C13" i="47"/>
  <c r="C42" i="15"/>
  <c r="O70" i="2" s="1"/>
  <c r="AG70" i="2" s="1"/>
  <c r="AO36" i="30"/>
  <c r="AS66" i="30"/>
  <c r="AT67" i="30"/>
  <c r="AL42" i="31"/>
  <c r="B109" i="15"/>
  <c r="B110" i="15" s="1"/>
  <c r="B114" i="15" s="1"/>
  <c r="C82" i="15" s="1"/>
  <c r="C83" i="15" s="1"/>
  <c r="AS62" i="32"/>
  <c r="AS34" i="33"/>
  <c r="AP36" i="33"/>
  <c r="K63" i="41"/>
  <c r="AM49" i="41"/>
  <c r="AK39" i="41"/>
  <c r="AN50" i="42"/>
  <c r="AO50" i="42" s="1"/>
  <c r="AO49" i="42"/>
  <c r="C138" i="47"/>
  <c r="C129" i="47"/>
  <c r="AT35" i="32"/>
  <c r="AL74" i="33"/>
  <c r="AM66" i="41"/>
  <c r="C250" i="47"/>
  <c r="C241" i="47"/>
  <c r="B166" i="15"/>
  <c r="AP69" i="31"/>
  <c r="AS69" i="31" s="1"/>
  <c r="AR64" i="33"/>
  <c r="AL36" i="32"/>
  <c r="AP42" i="32"/>
  <c r="AO36" i="33"/>
  <c r="AR34" i="33"/>
  <c r="AM48" i="41"/>
  <c r="AL70" i="41"/>
  <c r="AM70" i="41" s="1"/>
  <c r="AI45" i="41"/>
  <c r="AL37" i="41"/>
  <c r="AL39" i="41" s="1"/>
  <c r="AK74" i="41"/>
  <c r="AM74" i="41" s="1"/>
  <c r="AM69" i="41"/>
  <c r="AM62" i="41"/>
  <c r="AM50" i="41"/>
  <c r="AO67" i="42"/>
  <c r="AO67" i="43"/>
  <c r="AM45" i="45"/>
  <c r="AO42" i="45"/>
  <c r="C81" i="47"/>
  <c r="C72" i="47"/>
  <c r="B173" i="47"/>
  <c r="B175" i="47" s="1"/>
  <c r="B179" i="47" s="1"/>
  <c r="C157" i="47"/>
  <c r="AP69" i="32"/>
  <c r="AS69" i="32" s="1"/>
  <c r="AQ64" i="2"/>
  <c r="AF39" i="41"/>
  <c r="AC74" i="42"/>
  <c r="AJ74" i="42"/>
  <c r="AM74" i="42" s="1"/>
  <c r="AO74" i="42" s="1"/>
  <c r="AH50" i="43"/>
  <c r="AO37" i="43"/>
  <c r="AN39" i="43"/>
  <c r="AO69" i="43"/>
  <c r="AO66" i="43"/>
  <c r="AM43" i="43"/>
  <c r="AG45" i="43"/>
  <c r="AN67" i="44"/>
  <c r="AO37" i="44"/>
  <c r="AM39" i="44"/>
  <c r="AO39" i="44" s="1"/>
  <c r="H29" i="44"/>
  <c r="AH39" i="45"/>
  <c r="AN37" i="45"/>
  <c r="AO68" i="45"/>
  <c r="B116" i="47"/>
  <c r="B118" i="47" s="1"/>
  <c r="B122" i="47" s="1"/>
  <c r="C100" i="47"/>
  <c r="C251" i="47"/>
  <c r="AR70" i="32"/>
  <c r="AH39" i="41"/>
  <c r="AH45" i="41"/>
  <c r="B71" i="46"/>
  <c r="J20" i="41"/>
  <c r="K20" i="41" s="1"/>
  <c r="AH78" i="42"/>
  <c r="AN42" i="42"/>
  <c r="AM45" i="42"/>
  <c r="L183" i="42"/>
  <c r="K186" i="42" s="1"/>
  <c r="G183" i="42"/>
  <c r="AN42" i="43"/>
  <c r="AH45" i="43"/>
  <c r="AO68" i="43"/>
  <c r="M183" i="43"/>
  <c r="K186" i="43" s="1"/>
  <c r="A183" i="43"/>
  <c r="AN48" i="44"/>
  <c r="AN50" i="44" s="1"/>
  <c r="AN43" i="44"/>
  <c r="AO43" i="44" s="1"/>
  <c r="AO71" i="44"/>
  <c r="AO48" i="44"/>
  <c r="AH45" i="45"/>
  <c r="AN44" i="45"/>
  <c r="AO44" i="45" s="1"/>
  <c r="H29" i="45"/>
  <c r="B60" i="47"/>
  <c r="B62" i="47" s="1"/>
  <c r="B66" i="47" s="1"/>
  <c r="C41" i="47"/>
  <c r="C195" i="47"/>
  <c r="M23" i="32"/>
  <c r="N23" i="32" s="1"/>
  <c r="AO23" i="32" s="1"/>
  <c r="M23" i="33"/>
  <c r="N23" i="33" s="1"/>
  <c r="AL23" i="33" s="1"/>
  <c r="AQ44" i="2"/>
  <c r="AQ46" i="2" s="1"/>
  <c r="B39" i="46"/>
  <c r="G39" i="46" s="1"/>
  <c r="B46" i="46"/>
  <c r="J26" i="41"/>
  <c r="K26" i="41" s="1"/>
  <c r="AH26" i="41" s="1"/>
  <c r="J24" i="41"/>
  <c r="K24" i="41" s="1"/>
  <c r="AF24" i="41" s="1"/>
  <c r="J22" i="41"/>
  <c r="K22" i="41" s="1"/>
  <c r="AH22" i="41" s="1"/>
  <c r="AO70" i="43"/>
  <c r="AG50" i="43"/>
  <c r="AM48" i="43"/>
  <c r="AN42" i="44"/>
  <c r="AN45" i="44" s="1"/>
  <c r="AK45" i="44"/>
  <c r="AN37" i="44"/>
  <c r="AN39" i="44" s="1"/>
  <c r="AH39" i="44"/>
  <c r="K186" i="44"/>
  <c r="AM45" i="44"/>
  <c r="AN67" i="45"/>
  <c r="AO67" i="45" s="1"/>
  <c r="AO70" i="45"/>
  <c r="AM50" i="45"/>
  <c r="AO50" i="45" s="1"/>
  <c r="AO48" i="45"/>
  <c r="K186" i="45"/>
  <c r="C139" i="47"/>
  <c r="AK67" i="41"/>
  <c r="AM67" i="41" s="1"/>
  <c r="AH50" i="42"/>
  <c r="AO39" i="42"/>
  <c r="AH78" i="43"/>
  <c r="AO62" i="43"/>
  <c r="AO67" i="44"/>
  <c r="AO50" i="44"/>
  <c r="C82" i="47"/>
  <c r="C194" i="47"/>
  <c r="C185" i="47"/>
  <c r="B285" i="47"/>
  <c r="B287" i="47" s="1"/>
  <c r="B291" i="47" s="1"/>
  <c r="C269" i="47"/>
  <c r="AQ65" i="2"/>
  <c r="AQ62" i="2"/>
  <c r="AE78" i="41"/>
  <c r="AN43" i="42"/>
  <c r="AO43" i="42" s="1"/>
  <c r="AM69" i="42"/>
  <c r="AO69" i="42" s="1"/>
  <c r="J26" i="42"/>
  <c r="K26" i="42" s="1"/>
  <c r="AH26" i="42" s="1"/>
  <c r="AN43" i="43"/>
  <c r="AM38" i="43"/>
  <c r="AG39" i="43"/>
  <c r="H29" i="43"/>
  <c r="AO66" i="45"/>
  <c r="B229" i="47"/>
  <c r="B231" i="47" s="1"/>
  <c r="B235" i="47" s="1"/>
  <c r="C213" i="47"/>
  <c r="C17" i="46"/>
  <c r="G17" i="46" s="1"/>
  <c r="J22" i="43"/>
  <c r="K22" i="43" s="1"/>
  <c r="AK22" i="43" s="1"/>
  <c r="AG78" i="44"/>
  <c r="AK74" i="44"/>
  <c r="AN74" i="44" s="1"/>
  <c r="AO74" i="44" s="1"/>
  <c r="B71" i="16"/>
  <c r="AH39" i="43"/>
  <c r="AH78" i="44"/>
  <c r="AG39" i="45"/>
  <c r="AG45" i="45"/>
  <c r="C20" i="16"/>
  <c r="AN42" i="2"/>
  <c r="AH50" i="44"/>
  <c r="AH78" i="45"/>
  <c r="I25" i="44"/>
  <c r="J25" i="44" s="1"/>
  <c r="K25" i="44" s="1"/>
  <c r="AH25" i="44" s="1"/>
  <c r="AH50" i="45"/>
  <c r="AP70" i="31"/>
  <c r="AS70" i="31" s="1"/>
  <c r="C216" i="15"/>
  <c r="AO70" i="31"/>
  <c r="AR70" i="31" s="1"/>
  <c r="AM42" i="30"/>
  <c r="AS39" i="30"/>
  <c r="AM46" i="30"/>
  <c r="AS46" i="30"/>
  <c r="AT58" i="30"/>
  <c r="AM74" i="30"/>
  <c r="AP42" i="30"/>
  <c r="AS40" i="30"/>
  <c r="AT41" i="30"/>
  <c r="AS62" i="30"/>
  <c r="AM36" i="30"/>
  <c r="AP69" i="30"/>
  <c r="AS69" i="30" s="1"/>
  <c r="AR238" i="30"/>
  <c r="B46" i="16"/>
  <c r="AR40" i="2"/>
  <c r="E18" i="16"/>
  <c r="C21" i="16"/>
  <c r="C39" i="16" s="1"/>
  <c r="AS58" i="2"/>
  <c r="AO42" i="2"/>
  <c r="E16" i="16"/>
  <c r="AQ34" i="2"/>
  <c r="AQ36" i="2" s="1"/>
  <c r="AR66" i="2"/>
  <c r="AK36" i="2"/>
  <c r="AS216" i="2"/>
  <c r="AR65" i="2"/>
  <c r="AS67" i="2"/>
  <c r="AS45" i="2"/>
  <c r="AQ41" i="2"/>
  <c r="AS41" i="2" s="1"/>
  <c r="O175" i="2"/>
  <c r="AO54" i="2" s="1"/>
  <c r="AR54" i="2" s="1"/>
  <c r="AH69" i="30"/>
  <c r="AO69" i="30"/>
  <c r="AR69" i="30" s="1"/>
  <c r="C28" i="16"/>
  <c r="D28" i="16"/>
  <c r="AC26" i="44"/>
  <c r="L24" i="33"/>
  <c r="M24" i="33" s="1"/>
  <c r="N24" i="33" s="1"/>
  <c r="AL24" i="33" s="1"/>
  <c r="F31" i="46"/>
  <c r="F28" i="16"/>
  <c r="D17" i="16"/>
  <c r="E21" i="16"/>
  <c r="E39" i="16" s="1"/>
  <c r="F18" i="16"/>
  <c r="D16" i="16"/>
  <c r="E17" i="16"/>
  <c r="C16" i="16"/>
  <c r="F21" i="16"/>
  <c r="F39" i="16" s="1"/>
  <c r="E19" i="16"/>
  <c r="D20" i="16"/>
  <c r="C19" i="16"/>
  <c r="E20" i="16"/>
  <c r="F17" i="16"/>
  <c r="AK73" i="44"/>
  <c r="AN73" i="44" s="1"/>
  <c r="AC73" i="44"/>
  <c r="C158" i="15"/>
  <c r="AK73" i="45"/>
  <c r="C272" i="15"/>
  <c r="AK73" i="43"/>
  <c r="AN73" i="43" s="1"/>
  <c r="AN78" i="43" s="1"/>
  <c r="AC73" i="43"/>
  <c r="K78" i="45"/>
  <c r="AM73" i="44"/>
  <c r="AM78" i="44" s="1"/>
  <c r="AJ78" i="44"/>
  <c r="B165" i="15"/>
  <c r="AC73" i="42"/>
  <c r="C101" i="15"/>
  <c r="AH69" i="32"/>
  <c r="K78" i="42"/>
  <c r="AK73" i="42"/>
  <c r="B281" i="15"/>
  <c r="B285" i="15" s="1"/>
  <c r="C253" i="15" s="1"/>
  <c r="AO69" i="31"/>
  <c r="AR69" i="31" s="1"/>
  <c r="K78" i="44"/>
  <c r="B119" i="15"/>
  <c r="B123" i="15" s="1"/>
  <c r="C88" i="15" s="1"/>
  <c r="B176" i="15"/>
  <c r="B180" i="15" s="1"/>
  <c r="C154" i="15" s="1"/>
  <c r="C155" i="15" s="1"/>
  <c r="AO69" i="32"/>
  <c r="AR69" i="32" s="1"/>
  <c r="I25" i="42"/>
  <c r="J25" i="42" s="1"/>
  <c r="K25" i="42" s="1"/>
  <c r="AC25" i="42" s="1"/>
  <c r="I98" i="42"/>
  <c r="I20" i="42"/>
  <c r="J20" i="42" s="1"/>
  <c r="K20" i="42" s="1"/>
  <c r="AG20" i="42" s="1"/>
  <c r="I22" i="42"/>
  <c r="J22" i="42" s="1"/>
  <c r="K22" i="42" s="1"/>
  <c r="AK22" i="42" s="1"/>
  <c r="AA21" i="41"/>
  <c r="I95" i="42"/>
  <c r="L18" i="33"/>
  <c r="M18" i="33" s="1"/>
  <c r="N18" i="33" s="1"/>
  <c r="AH18" i="33" s="1"/>
  <c r="L84" i="33"/>
  <c r="I21" i="42"/>
  <c r="J21" i="42" s="1"/>
  <c r="K21" i="42" s="1"/>
  <c r="AG21" i="42" s="1"/>
  <c r="I91" i="42"/>
  <c r="I24" i="42"/>
  <c r="J24" i="42" s="1"/>
  <c r="K24" i="42" s="1"/>
  <c r="AK24" i="42" s="1"/>
  <c r="L86" i="33"/>
  <c r="L93" i="33"/>
  <c r="I27" i="42"/>
  <c r="J27" i="42" s="1"/>
  <c r="K27" i="42" s="1"/>
  <c r="AG27" i="42" s="1"/>
  <c r="E31" i="46"/>
  <c r="I25" i="43"/>
  <c r="J25" i="43" s="1"/>
  <c r="K25" i="43" s="1"/>
  <c r="AG25" i="43" s="1"/>
  <c r="I27" i="43"/>
  <c r="J27" i="43" s="1"/>
  <c r="K27" i="43" s="1"/>
  <c r="AH27" i="43" s="1"/>
  <c r="I20" i="43"/>
  <c r="J20" i="43" s="1"/>
  <c r="K20" i="43" s="1"/>
  <c r="I24" i="43"/>
  <c r="J24" i="43" s="1"/>
  <c r="K24" i="43" s="1"/>
  <c r="AJ24" i="43" s="1"/>
  <c r="AH26" i="44"/>
  <c r="I93" i="42"/>
  <c r="AA25" i="41"/>
  <c r="I23" i="42"/>
  <c r="J23" i="42" s="1"/>
  <c r="K23" i="42" s="1"/>
  <c r="AJ23" i="42" s="1"/>
  <c r="L24" i="32"/>
  <c r="M24" i="32" s="1"/>
  <c r="N24" i="32" s="1"/>
  <c r="AO24" i="32" s="1"/>
  <c r="I26" i="43"/>
  <c r="J26" i="43" s="1"/>
  <c r="K26" i="43" s="1"/>
  <c r="AG26" i="43" s="1"/>
  <c r="I23" i="43"/>
  <c r="J23" i="43" s="1"/>
  <c r="K23" i="43" s="1"/>
  <c r="AH23" i="43" s="1"/>
  <c r="I98" i="43"/>
  <c r="C31" i="46"/>
  <c r="I89" i="42"/>
  <c r="AH23" i="44"/>
  <c r="AG23" i="44"/>
  <c r="AC23" i="44"/>
  <c r="AK23" i="44"/>
  <c r="AJ23" i="44"/>
  <c r="AH23" i="41"/>
  <c r="AE23" i="41"/>
  <c r="AI23" i="41"/>
  <c r="AA23" i="41"/>
  <c r="AF23" i="41"/>
  <c r="I24" i="45"/>
  <c r="J24" i="45" s="1"/>
  <c r="K24" i="45" s="1"/>
  <c r="I20" i="45"/>
  <c r="J20" i="45" s="1"/>
  <c r="I23" i="45"/>
  <c r="J23" i="45" s="1"/>
  <c r="K23" i="45" s="1"/>
  <c r="I27" i="45"/>
  <c r="J27" i="45" s="1"/>
  <c r="K27" i="45" s="1"/>
  <c r="I26" i="45"/>
  <c r="J26" i="45" s="1"/>
  <c r="K26" i="45" s="1"/>
  <c r="I21" i="45"/>
  <c r="J21" i="45" s="1"/>
  <c r="K21" i="45" s="1"/>
  <c r="AJ27" i="44"/>
  <c r="AC27" i="44"/>
  <c r="AH27" i="44"/>
  <c r="AK27" i="44"/>
  <c r="AG27" i="44"/>
  <c r="L20" i="30"/>
  <c r="L18" i="30"/>
  <c r="L19" i="30"/>
  <c r="L23" i="30"/>
  <c r="L17" i="30"/>
  <c r="L22" i="30"/>
  <c r="L21" i="30"/>
  <c r="L22" i="32"/>
  <c r="M22" i="32" s="1"/>
  <c r="N22" i="32" s="1"/>
  <c r="AO22" i="32" s="1"/>
  <c r="L19" i="32"/>
  <c r="M19" i="32" s="1"/>
  <c r="N19" i="32" s="1"/>
  <c r="AP19" i="32" s="1"/>
  <c r="L18" i="32"/>
  <c r="M18" i="32" s="1"/>
  <c r="N18" i="32" s="1"/>
  <c r="AP18" i="32" s="1"/>
  <c r="L17" i="32"/>
  <c r="M17" i="32" s="1"/>
  <c r="L20" i="32"/>
  <c r="M20" i="32" s="1"/>
  <c r="N20" i="32" s="1"/>
  <c r="AM20" i="32" s="1"/>
  <c r="L21" i="32"/>
  <c r="M21" i="32" s="1"/>
  <c r="N21" i="32" s="1"/>
  <c r="AM21" i="32" s="1"/>
  <c r="AE27" i="41"/>
  <c r="AI27" i="41"/>
  <c r="AF27" i="41"/>
  <c r="AA27" i="41"/>
  <c r="I25" i="45"/>
  <c r="J25" i="45" s="1"/>
  <c r="K25" i="45" s="1"/>
  <c r="AH27" i="41"/>
  <c r="AH20" i="44"/>
  <c r="AF25" i="41"/>
  <c r="AE25" i="41"/>
  <c r="AK25" i="41" s="1"/>
  <c r="AI25" i="41"/>
  <c r="I22" i="45"/>
  <c r="J22" i="45" s="1"/>
  <c r="K22" i="45" s="1"/>
  <c r="AI21" i="41"/>
  <c r="AF21" i="41"/>
  <c r="I89" i="45"/>
  <c r="L84" i="30"/>
  <c r="L90" i="32"/>
  <c r="C273" i="15"/>
  <c r="AP70" i="30"/>
  <c r="AC74" i="43"/>
  <c r="B62" i="15"/>
  <c r="B66" i="15" s="1"/>
  <c r="C37" i="15" s="1"/>
  <c r="C38" i="15" s="1"/>
  <c r="B233" i="15"/>
  <c r="B237" i="15" s="1"/>
  <c r="C211" i="15" s="1"/>
  <c r="C212" i="15" s="1"/>
  <c r="AJ74" i="43"/>
  <c r="AM74" i="43" s="1"/>
  <c r="AO74" i="43" s="1"/>
  <c r="G38" i="46"/>
  <c r="B290" i="15"/>
  <c r="B294" i="15" s="1"/>
  <c r="AH70" i="30"/>
  <c r="AO70" i="33"/>
  <c r="AR70" i="33" s="1"/>
  <c r="K78" i="43"/>
  <c r="AM73" i="42"/>
  <c r="AM73" i="45"/>
  <c r="AJ78" i="45"/>
  <c r="AM73" i="43"/>
  <c r="B222" i="15"/>
  <c r="B224" i="15" s="1"/>
  <c r="B228" i="15" s="1"/>
  <c r="C41" i="15"/>
  <c r="O69" i="2" s="1"/>
  <c r="AN69" i="2" s="1"/>
  <c r="AQ69" i="2" s="1"/>
  <c r="B51" i="15"/>
  <c r="B53" i="15" s="1"/>
  <c r="B57" i="15" s="1"/>
  <c r="C22" i="15" s="1"/>
  <c r="AP69" i="33"/>
  <c r="L19" i="33"/>
  <c r="M19" i="33" s="1"/>
  <c r="N19" i="33" s="1"/>
  <c r="AH69" i="33"/>
  <c r="AO69" i="33"/>
  <c r="AH70" i="33"/>
  <c r="L22" i="33"/>
  <c r="M22" i="33" s="1"/>
  <c r="N22" i="33" s="1"/>
  <c r="L21" i="33"/>
  <c r="M21" i="33" s="1"/>
  <c r="N21" i="33" s="1"/>
  <c r="L20" i="33"/>
  <c r="M20" i="33" s="1"/>
  <c r="N20" i="33" s="1"/>
  <c r="L88" i="33"/>
  <c r="L90" i="33"/>
  <c r="L17" i="33"/>
  <c r="M17" i="33" s="1"/>
  <c r="AP70" i="32"/>
  <c r="AH69" i="31"/>
  <c r="L22" i="31"/>
  <c r="M22" i="31" s="1"/>
  <c r="N22" i="31" s="1"/>
  <c r="L24" i="31"/>
  <c r="M24" i="31" s="1"/>
  <c r="N24" i="31" s="1"/>
  <c r="L86" i="31"/>
  <c r="L18" i="31"/>
  <c r="M18" i="31" s="1"/>
  <c r="N18" i="31" s="1"/>
  <c r="L88" i="31"/>
  <c r="L19" i="31"/>
  <c r="M19" i="31" s="1"/>
  <c r="N19" i="31" s="1"/>
  <c r="L21" i="31"/>
  <c r="M21" i="31" s="1"/>
  <c r="N21" i="31" s="1"/>
  <c r="L17" i="31"/>
  <c r="M17" i="31" s="1"/>
  <c r="AR70" i="30"/>
  <c r="AR62" i="2"/>
  <c r="AL74" i="2"/>
  <c r="AL46" i="2"/>
  <c r="AR44" i="2"/>
  <c r="AL42" i="2"/>
  <c r="AR39" i="2"/>
  <c r="AR34" i="2"/>
  <c r="AR36" i="2" s="1"/>
  <c r="AL36" i="2"/>
  <c r="AR64" i="2"/>
  <c r="AK46" i="2"/>
  <c r="L93" i="32"/>
  <c r="I98" i="45"/>
  <c r="L88" i="32"/>
  <c r="L84" i="32"/>
  <c r="L86" i="32"/>
  <c r="I91" i="45"/>
  <c r="N17" i="2"/>
  <c r="D78" i="16"/>
  <c r="K78" i="16" s="1"/>
  <c r="C80" i="16"/>
  <c r="H79" i="16"/>
  <c r="H78" i="16"/>
  <c r="K79" i="16"/>
  <c r="G79" i="16"/>
  <c r="L93" i="30"/>
  <c r="L90" i="31"/>
  <c r="I91" i="43"/>
  <c r="B80" i="16"/>
  <c r="I93" i="45"/>
  <c r="I93" i="43"/>
  <c r="L90" i="30"/>
  <c r="Q79" i="16"/>
  <c r="N79" i="16"/>
  <c r="L88" i="30"/>
  <c r="I95" i="45"/>
  <c r="L84" i="31"/>
  <c r="L86" i="30"/>
  <c r="I95" i="43"/>
  <c r="I89" i="43"/>
  <c r="AO70" i="2" l="1"/>
  <c r="AR70" i="2" s="1"/>
  <c r="AN70" i="2"/>
  <c r="AQ70" i="2" s="1"/>
  <c r="AO69" i="2"/>
  <c r="AR69" i="2" s="1"/>
  <c r="AG69" i="2"/>
  <c r="AT65" i="33"/>
  <c r="AT63" i="33"/>
  <c r="N185" i="33"/>
  <c r="AP54" i="33" s="1"/>
  <c r="AS54" i="33" s="1"/>
  <c r="AS42" i="33"/>
  <c r="AT65" i="32"/>
  <c r="N184" i="32"/>
  <c r="AO54" i="32" s="1"/>
  <c r="AR54" i="32" s="1"/>
  <c r="AT62" i="33"/>
  <c r="N185" i="31"/>
  <c r="AO54" i="31" s="1"/>
  <c r="AR54" i="31" s="1"/>
  <c r="AA17" i="2"/>
  <c r="Z17" i="2"/>
  <c r="X17" i="2" s="1"/>
  <c r="N184" i="30"/>
  <c r="AO54" i="30" s="1"/>
  <c r="AR54" i="30" s="1"/>
  <c r="AT39" i="30"/>
  <c r="AT62" i="30"/>
  <c r="AR42" i="30"/>
  <c r="AS66" i="2"/>
  <c r="AT63" i="30"/>
  <c r="M23" i="30"/>
  <c r="N23" i="30" s="1"/>
  <c r="AP23" i="30" s="1"/>
  <c r="M18" i="30"/>
  <c r="N18" i="30" s="1"/>
  <c r="AP18" i="30" s="1"/>
  <c r="M21" i="30"/>
  <c r="N21" i="30" s="1"/>
  <c r="AL21" i="30" s="1"/>
  <c r="K22" i="30"/>
  <c r="M22" i="30" s="1"/>
  <c r="N22" i="30" s="1"/>
  <c r="M20" i="30"/>
  <c r="N20" i="30" s="1"/>
  <c r="AM20" i="30" s="1"/>
  <c r="M19" i="30"/>
  <c r="N19" i="30" s="1"/>
  <c r="AL19" i="30" s="1"/>
  <c r="K17" i="30"/>
  <c r="AT63" i="32"/>
  <c r="AS40" i="2"/>
  <c r="AT40" i="31"/>
  <c r="AS42" i="31"/>
  <c r="AT66" i="31"/>
  <c r="AT64" i="31"/>
  <c r="AT34" i="30"/>
  <c r="AS69" i="2"/>
  <c r="AJ78" i="43"/>
  <c r="AT40" i="30"/>
  <c r="AT65" i="30"/>
  <c r="AT64" i="32"/>
  <c r="AP74" i="33"/>
  <c r="AT66" i="32"/>
  <c r="AR42" i="32"/>
  <c r="AT70" i="33"/>
  <c r="AT39" i="32"/>
  <c r="AT40" i="33"/>
  <c r="AT64" i="30"/>
  <c r="AT40" i="32"/>
  <c r="AT46" i="33"/>
  <c r="AT39" i="31"/>
  <c r="AT62" i="31"/>
  <c r="AT64" i="33"/>
  <c r="AT62" i="32"/>
  <c r="AT66" i="30"/>
  <c r="AT65" i="31"/>
  <c r="AS36" i="33"/>
  <c r="AT63" i="31"/>
  <c r="AT39" i="33"/>
  <c r="AR42" i="33"/>
  <c r="F15" i="16"/>
  <c r="C15" i="16"/>
  <c r="D15" i="16"/>
  <c r="AH23" i="32"/>
  <c r="AC21" i="43"/>
  <c r="AI22" i="41"/>
  <c r="AK21" i="43"/>
  <c r="AG21" i="43"/>
  <c r="AM21" i="43" s="1"/>
  <c r="AH21" i="43"/>
  <c r="AN21" i="43" s="1"/>
  <c r="AO21" i="43" s="1"/>
  <c r="AJ78" i="42"/>
  <c r="AK78" i="43"/>
  <c r="AG63" i="2"/>
  <c r="AN63" i="2"/>
  <c r="AQ63" i="2" s="1"/>
  <c r="AS63" i="2" s="1"/>
  <c r="AP23" i="33"/>
  <c r="AC24" i="43"/>
  <c r="AC20" i="44"/>
  <c r="AG22" i="44"/>
  <c r="AK20" i="44"/>
  <c r="AN20" i="44" s="1"/>
  <c r="C46" i="16"/>
  <c r="AH22" i="44"/>
  <c r="AN22" i="44" s="1"/>
  <c r="AH23" i="31"/>
  <c r="AF22" i="41"/>
  <c r="AA22" i="41"/>
  <c r="AE22" i="41"/>
  <c r="AK22" i="41" s="1"/>
  <c r="AK26" i="44"/>
  <c r="AN26" i="44" s="1"/>
  <c r="AP23" i="32"/>
  <c r="AO23" i="33"/>
  <c r="AR23" i="33" s="1"/>
  <c r="AI24" i="41"/>
  <c r="AL24" i="41" s="1"/>
  <c r="AJ22" i="44"/>
  <c r="AM22" i="44" s="1"/>
  <c r="AC22" i="44"/>
  <c r="AP23" i="31"/>
  <c r="AL23" i="31"/>
  <c r="AR23" i="31" s="1"/>
  <c r="AG24" i="43"/>
  <c r="AM24" i="43" s="1"/>
  <c r="AG20" i="44"/>
  <c r="AM20" i="44" s="1"/>
  <c r="AG26" i="44"/>
  <c r="AM26" i="44" s="1"/>
  <c r="AM23" i="33"/>
  <c r="AP24" i="33"/>
  <c r="AM23" i="31"/>
  <c r="AM24" i="33"/>
  <c r="AH23" i="33"/>
  <c r="AJ25" i="44"/>
  <c r="AI26" i="41"/>
  <c r="AM27" i="44"/>
  <c r="AO19" i="32"/>
  <c r="AL20" i="31"/>
  <c r="AG25" i="44"/>
  <c r="AP18" i="33"/>
  <c r="AO20" i="31"/>
  <c r="AK26" i="42"/>
  <c r="AN26" i="42" s="1"/>
  <c r="AG25" i="42"/>
  <c r="AJ26" i="42"/>
  <c r="AH24" i="30"/>
  <c r="AH20" i="31"/>
  <c r="AH22" i="43"/>
  <c r="AN22" i="43" s="1"/>
  <c r="AK25" i="44"/>
  <c r="AN25" i="44" s="1"/>
  <c r="AE26" i="41"/>
  <c r="AK26" i="41" s="1"/>
  <c r="AA26" i="41"/>
  <c r="AC26" i="42"/>
  <c r="J29" i="41"/>
  <c r="AG26" i="42"/>
  <c r="AC25" i="44"/>
  <c r="AJ25" i="42"/>
  <c r="AK23" i="42"/>
  <c r="AC22" i="42"/>
  <c r="AF26" i="41"/>
  <c r="AS74" i="31"/>
  <c r="AT70" i="31"/>
  <c r="AA24" i="41"/>
  <c r="AC22" i="43"/>
  <c r="AE24" i="41"/>
  <c r="AJ22" i="43"/>
  <c r="AL24" i="30"/>
  <c r="AG22" i="43"/>
  <c r="AC23" i="43"/>
  <c r="AH24" i="41"/>
  <c r="AG54" i="2"/>
  <c r="E46" i="16"/>
  <c r="AH24" i="33"/>
  <c r="AO24" i="33"/>
  <c r="AR24" i="33" s="1"/>
  <c r="AM23" i="32"/>
  <c r="AL23" i="32"/>
  <c r="AR23" i="32" s="1"/>
  <c r="AS42" i="32"/>
  <c r="AO74" i="32"/>
  <c r="AT69" i="32"/>
  <c r="AP20" i="31"/>
  <c r="AS20" i="31" s="1"/>
  <c r="AO74" i="31"/>
  <c r="AR74" i="31"/>
  <c r="AS64" i="2"/>
  <c r="G18" i="16"/>
  <c r="AS65" i="2"/>
  <c r="D46" i="16"/>
  <c r="AS62" i="2"/>
  <c r="AN54" i="2"/>
  <c r="AQ54" i="2" s="1"/>
  <c r="AS54" i="2" s="1"/>
  <c r="AT69" i="30"/>
  <c r="AK58" i="43"/>
  <c r="AN58" i="43" s="1"/>
  <c r="AC58" i="43"/>
  <c r="AJ58" i="43"/>
  <c r="AM58" i="43" s="1"/>
  <c r="AO58" i="43" s="1"/>
  <c r="AJ58" i="42"/>
  <c r="AM58" i="42" s="1"/>
  <c r="AK58" i="42"/>
  <c r="AN58" i="42" s="1"/>
  <c r="AC58" i="42"/>
  <c r="Q78" i="46"/>
  <c r="AM24" i="30"/>
  <c r="AS24" i="30" s="1"/>
  <c r="AJ24" i="44"/>
  <c r="AG24" i="44"/>
  <c r="B167" i="15"/>
  <c r="B171" i="15" s="1"/>
  <c r="C130" i="15" s="1"/>
  <c r="AQ42" i="2"/>
  <c r="AO42" i="43"/>
  <c r="AN45" i="43"/>
  <c r="L78" i="46"/>
  <c r="AC24" i="44"/>
  <c r="AN45" i="45"/>
  <c r="AR46" i="31"/>
  <c r="AT46" i="31" s="1"/>
  <c r="AM42" i="41"/>
  <c r="AL45" i="41"/>
  <c r="AM45" i="41" s="1"/>
  <c r="AK25" i="42"/>
  <c r="AO45" i="44"/>
  <c r="AM50" i="43"/>
  <c r="AO50" i="43" s="1"/>
  <c r="AO48" i="43"/>
  <c r="E46" i="46"/>
  <c r="F46" i="46"/>
  <c r="C46" i="46"/>
  <c r="G46" i="46" s="1"/>
  <c r="D46" i="46"/>
  <c r="AO45" i="45"/>
  <c r="AT34" i="32"/>
  <c r="AR36" i="32"/>
  <c r="AT36" i="32" s="1"/>
  <c r="N78" i="46"/>
  <c r="J29" i="44"/>
  <c r="C256" i="47"/>
  <c r="C265" i="47"/>
  <c r="C266" i="47" s="1"/>
  <c r="AC58" i="45"/>
  <c r="AJ58" i="45"/>
  <c r="AM58" i="45" s="1"/>
  <c r="AO58" i="45" s="1"/>
  <c r="AK58" i="45"/>
  <c r="AN58" i="45" s="1"/>
  <c r="AJ58" i="44"/>
  <c r="AM58" i="44" s="1"/>
  <c r="AC58" i="44"/>
  <c r="AK58" i="44"/>
  <c r="AN58" i="44" s="1"/>
  <c r="K73" i="41"/>
  <c r="AO42" i="44"/>
  <c r="C87" i="47"/>
  <c r="C96" i="47"/>
  <c r="C97" i="47" s="1"/>
  <c r="AM45" i="43"/>
  <c r="AO43" i="43"/>
  <c r="AT34" i="33"/>
  <c r="AR36" i="33"/>
  <c r="AT36" i="33" s="1"/>
  <c r="AR42" i="31"/>
  <c r="AO38" i="43"/>
  <c r="AM39" i="43"/>
  <c r="AO39" i="43" s="1"/>
  <c r="C28" i="47"/>
  <c r="C37" i="47"/>
  <c r="C38" i="47" s="1"/>
  <c r="AN45" i="42"/>
  <c r="AO45" i="42" s="1"/>
  <c r="AO42" i="42"/>
  <c r="C144" i="47"/>
  <c r="C153" i="47"/>
  <c r="C154" i="47" s="1"/>
  <c r="C43" i="47"/>
  <c r="K75" i="41" s="1"/>
  <c r="E79" i="46"/>
  <c r="F79" i="46" s="1"/>
  <c r="K79" i="46"/>
  <c r="L79" i="46" s="1"/>
  <c r="Q79" i="46"/>
  <c r="AM37" i="41"/>
  <c r="AT34" i="31"/>
  <c r="AS36" i="31"/>
  <c r="AT36" i="31" s="1"/>
  <c r="F78" i="46"/>
  <c r="F80" i="46" s="1"/>
  <c r="E80" i="46"/>
  <c r="AO24" i="30"/>
  <c r="AH24" i="44"/>
  <c r="AN24" i="44" s="1"/>
  <c r="AJ27" i="42"/>
  <c r="AM27" i="42" s="1"/>
  <c r="C200" i="47"/>
  <c r="C209" i="47"/>
  <c r="C210" i="47" s="1"/>
  <c r="C215" i="47"/>
  <c r="C216" i="47" s="1"/>
  <c r="AN39" i="45"/>
  <c r="AO39" i="45" s="1"/>
  <c r="AO37" i="45"/>
  <c r="AS46" i="32"/>
  <c r="AT46" i="32" s="1"/>
  <c r="AM39" i="41"/>
  <c r="N79" i="46"/>
  <c r="AM58" i="41"/>
  <c r="G78" i="46"/>
  <c r="AP74" i="31"/>
  <c r="C244" i="15"/>
  <c r="AN78" i="44"/>
  <c r="AO78" i="44" s="1"/>
  <c r="AH19" i="32"/>
  <c r="AO21" i="32"/>
  <c r="G16" i="16"/>
  <c r="AO74" i="30"/>
  <c r="AT36" i="30"/>
  <c r="AS42" i="30"/>
  <c r="AR46" i="30"/>
  <c r="AT46" i="30" s="1"/>
  <c r="G20" i="16"/>
  <c r="G28" i="16"/>
  <c r="G19" i="16"/>
  <c r="G21" i="16"/>
  <c r="G17" i="16"/>
  <c r="G39" i="16"/>
  <c r="AO18" i="32"/>
  <c r="J29" i="42"/>
  <c r="AL23" i="41"/>
  <c r="AM18" i="32"/>
  <c r="AS18" i="32" s="1"/>
  <c r="AK27" i="43"/>
  <c r="AN27" i="43" s="1"/>
  <c r="AC24" i="42"/>
  <c r="AH22" i="42"/>
  <c r="AN22" i="42" s="1"/>
  <c r="AK26" i="43"/>
  <c r="AG23" i="43"/>
  <c r="AC27" i="42"/>
  <c r="AH25" i="42"/>
  <c r="AJ21" i="42"/>
  <c r="AM21" i="42" s="1"/>
  <c r="F46" i="16"/>
  <c r="AK78" i="45"/>
  <c r="AN73" i="45"/>
  <c r="AN78" i="45" s="1"/>
  <c r="AK78" i="44"/>
  <c r="AR74" i="32"/>
  <c r="C97" i="15"/>
  <c r="C98" i="15" s="1"/>
  <c r="C202" i="15"/>
  <c r="AN73" i="42"/>
  <c r="AN78" i="42" s="1"/>
  <c r="AK78" i="42"/>
  <c r="AS69" i="33"/>
  <c r="AS74" i="33" s="1"/>
  <c r="AO73" i="44"/>
  <c r="C145" i="15"/>
  <c r="AC20" i="42"/>
  <c r="AK25" i="43"/>
  <c r="AK21" i="42"/>
  <c r="AK20" i="42"/>
  <c r="K29" i="44"/>
  <c r="K80" i="44" s="1"/>
  <c r="AO85" i="44" s="1"/>
  <c r="AK21" i="44"/>
  <c r="AM23" i="44"/>
  <c r="AK23" i="43"/>
  <c r="AN23" i="43" s="1"/>
  <c r="AC23" i="42"/>
  <c r="AH20" i="42"/>
  <c r="AC21" i="42"/>
  <c r="AJ20" i="42"/>
  <c r="AM20" i="42" s="1"/>
  <c r="AG23" i="42"/>
  <c r="AM23" i="42" s="1"/>
  <c r="AH21" i="42"/>
  <c r="AK24" i="43"/>
  <c r="AJ23" i="43"/>
  <c r="AL18" i="33"/>
  <c r="AG24" i="42"/>
  <c r="AJ22" i="42"/>
  <c r="AH22" i="32"/>
  <c r="AM18" i="33"/>
  <c r="AH24" i="43"/>
  <c r="AH24" i="42"/>
  <c r="AN24" i="42" s="1"/>
  <c r="AK27" i="42"/>
  <c r="AG22" i="42"/>
  <c r="AO18" i="33"/>
  <c r="AL25" i="41"/>
  <c r="AM25" i="41" s="1"/>
  <c r="AJ24" i="42"/>
  <c r="AH27" i="42"/>
  <c r="AO20" i="32"/>
  <c r="AH18" i="32"/>
  <c r="AM24" i="32"/>
  <c r="AP24" i="32"/>
  <c r="AL18" i="32"/>
  <c r="AL22" i="41"/>
  <c r="M26" i="32"/>
  <c r="AJ27" i="43"/>
  <c r="AC21" i="44"/>
  <c r="AJ21" i="44"/>
  <c r="AC25" i="43"/>
  <c r="AH25" i="43"/>
  <c r="AL22" i="32"/>
  <c r="AR22" i="32" s="1"/>
  <c r="AM22" i="32"/>
  <c r="AL20" i="32"/>
  <c r="AH24" i="32"/>
  <c r="AM19" i="32"/>
  <c r="AS19" i="32" s="1"/>
  <c r="AJ25" i="43"/>
  <c r="AM25" i="43" s="1"/>
  <c r="AG27" i="43"/>
  <c r="AC27" i="43"/>
  <c r="AG21" i="44"/>
  <c r="AH23" i="42"/>
  <c r="AP22" i="32"/>
  <c r="AP20" i="32"/>
  <c r="AS20" i="32" s="1"/>
  <c r="AL24" i="32"/>
  <c r="AR24" i="32" s="1"/>
  <c r="N17" i="32"/>
  <c r="AO17" i="32" s="1"/>
  <c r="AH20" i="32"/>
  <c r="K29" i="42"/>
  <c r="K80" i="42" s="1"/>
  <c r="I83" i="42" s="1"/>
  <c r="AK23" i="41"/>
  <c r="AJ26" i="43"/>
  <c r="AM26" i="43" s="1"/>
  <c r="AH26" i="43"/>
  <c r="AC26" i="43"/>
  <c r="J29" i="43"/>
  <c r="AC22" i="45"/>
  <c r="AG22" i="45"/>
  <c r="AJ22" i="45"/>
  <c r="AK22" i="45"/>
  <c r="AH22" i="45"/>
  <c r="AA20" i="41"/>
  <c r="AE20" i="41"/>
  <c r="K29" i="41"/>
  <c r="AI20" i="41"/>
  <c r="AH20" i="41"/>
  <c r="AF20" i="41"/>
  <c r="AG25" i="45"/>
  <c r="AJ25" i="45"/>
  <c r="AK25" i="45"/>
  <c r="AH25" i="45"/>
  <c r="AC25" i="45"/>
  <c r="AC21" i="45"/>
  <c r="AJ21" i="45"/>
  <c r="AK21" i="45"/>
  <c r="AG21" i="45"/>
  <c r="AH21" i="45"/>
  <c r="K20" i="45"/>
  <c r="J29" i="45"/>
  <c r="AL19" i="32"/>
  <c r="AK27" i="41"/>
  <c r="AN27" i="44"/>
  <c r="AH26" i="45"/>
  <c r="AC26" i="45"/>
  <c r="AG26" i="45"/>
  <c r="AK26" i="45"/>
  <c r="AJ26" i="45"/>
  <c r="AG24" i="45"/>
  <c r="AK24" i="45"/>
  <c r="AC24" i="45"/>
  <c r="AH24" i="45"/>
  <c r="AJ24" i="45"/>
  <c r="AN23" i="44"/>
  <c r="AJ20" i="43"/>
  <c r="AG20" i="43"/>
  <c r="K29" i="43"/>
  <c r="K80" i="43" s="1"/>
  <c r="AC20" i="43"/>
  <c r="AK20" i="43"/>
  <c r="AH20" i="43"/>
  <c r="AH21" i="32"/>
  <c r="AP21" i="32"/>
  <c r="AS21" i="32" s="1"/>
  <c r="AH27" i="45"/>
  <c r="AC27" i="45"/>
  <c r="AJ27" i="45"/>
  <c r="AG27" i="45"/>
  <c r="AK27" i="45"/>
  <c r="AL21" i="32"/>
  <c r="AL21" i="41"/>
  <c r="AM21" i="41" s="1"/>
  <c r="AL27" i="41"/>
  <c r="AH23" i="45"/>
  <c r="AK23" i="45"/>
  <c r="AC23" i="45"/>
  <c r="AJ23" i="45"/>
  <c r="AG23" i="45"/>
  <c r="C28" i="15"/>
  <c r="C73" i="15"/>
  <c r="C259" i="15"/>
  <c r="C268" i="15"/>
  <c r="C269" i="15" s="1"/>
  <c r="C254" i="15"/>
  <c r="AS70" i="30"/>
  <c r="AS74" i="30" s="1"/>
  <c r="AP74" i="30"/>
  <c r="C187" i="15"/>
  <c r="C196" i="15"/>
  <c r="AM78" i="45"/>
  <c r="AT69" i="31"/>
  <c r="AM78" i="42"/>
  <c r="C13" i="15"/>
  <c r="AO73" i="43"/>
  <c r="AM78" i="43"/>
  <c r="AM20" i="33"/>
  <c r="AL20" i="33"/>
  <c r="AH20" i="33"/>
  <c r="AP20" i="33"/>
  <c r="AO20" i="33"/>
  <c r="N17" i="33"/>
  <c r="M26" i="33"/>
  <c r="AR69" i="33"/>
  <c r="AO74" i="33"/>
  <c r="AP21" i="33"/>
  <c r="AO21" i="33"/>
  <c r="AL21" i="33"/>
  <c r="AH21" i="33"/>
  <c r="AM21" i="33"/>
  <c r="AO22" i="33"/>
  <c r="AM22" i="33"/>
  <c r="AH22" i="33"/>
  <c r="AP22" i="33"/>
  <c r="AL22" i="33"/>
  <c r="AH19" i="33"/>
  <c r="AP19" i="33"/>
  <c r="AM19" i="33"/>
  <c r="AO19" i="33"/>
  <c r="AL19" i="33"/>
  <c r="AS70" i="32"/>
  <c r="AP74" i="32"/>
  <c r="AM24" i="31"/>
  <c r="AH24" i="31"/>
  <c r="AO24" i="31"/>
  <c r="AL24" i="31"/>
  <c r="AP24" i="31"/>
  <c r="AP22" i="31"/>
  <c r="AO22" i="31"/>
  <c r="AM22" i="31"/>
  <c r="AH22" i="31"/>
  <c r="AL22" i="31"/>
  <c r="N17" i="31"/>
  <c r="M26" i="31"/>
  <c r="AM18" i="31"/>
  <c r="AH18" i="31"/>
  <c r="AP18" i="31"/>
  <c r="AL18" i="31"/>
  <c r="AO18" i="31"/>
  <c r="AL19" i="31"/>
  <c r="AM19" i="31"/>
  <c r="AP19" i="31"/>
  <c r="AH19" i="31"/>
  <c r="AO19" i="31"/>
  <c r="AH21" i="31"/>
  <c r="AM21" i="31"/>
  <c r="AL21" i="31"/>
  <c r="AO21" i="31"/>
  <c r="AP21" i="31"/>
  <c r="AR74" i="30"/>
  <c r="AR42" i="2"/>
  <c r="AS39" i="2"/>
  <c r="AS36" i="2"/>
  <c r="AS34" i="2"/>
  <c r="AS44" i="2"/>
  <c r="AR46" i="2"/>
  <c r="AS46" i="2" s="1"/>
  <c r="O17" i="2"/>
  <c r="I79" i="16"/>
  <c r="L79" i="16"/>
  <c r="O79" i="16" s="1"/>
  <c r="R79" i="16"/>
  <c r="K80" i="16"/>
  <c r="L78" i="16"/>
  <c r="I78" i="16"/>
  <c r="H80" i="16"/>
  <c r="D80" i="16"/>
  <c r="E78" i="16"/>
  <c r="N78" i="16" s="1"/>
  <c r="AR74" i="2" l="1"/>
  <c r="AO74" i="2"/>
  <c r="AT42" i="33"/>
  <c r="AO54" i="33"/>
  <c r="AR54" i="33" s="1"/>
  <c r="AT54" i="33" s="1"/>
  <c r="AH54" i="33"/>
  <c r="AH54" i="32"/>
  <c r="AP54" i="32"/>
  <c r="AS54" i="32" s="1"/>
  <c r="AT54" i="32" s="1"/>
  <c r="AH54" i="31"/>
  <c r="AP54" i="31"/>
  <c r="AS54" i="31" s="1"/>
  <c r="AT54" i="31" s="1"/>
  <c r="AH54" i="30"/>
  <c r="AP54" i="30"/>
  <c r="AS54" i="30" s="1"/>
  <c r="AT54" i="30" s="1"/>
  <c r="AK17" i="2"/>
  <c r="AT42" i="30"/>
  <c r="AN74" i="2"/>
  <c r="AL23" i="30"/>
  <c r="AM23" i="30"/>
  <c r="AS23" i="30" s="1"/>
  <c r="AT42" i="31"/>
  <c r="AM19" i="30"/>
  <c r="AP19" i="30"/>
  <c r="AO23" i="30"/>
  <c r="AH23" i="30"/>
  <c r="AH19" i="30"/>
  <c r="AO19" i="30"/>
  <c r="AR19" i="30" s="1"/>
  <c r="K26" i="30"/>
  <c r="AO20" i="30"/>
  <c r="AO18" i="30"/>
  <c r="AM21" i="30"/>
  <c r="AM18" i="30"/>
  <c r="AS18" i="30" s="1"/>
  <c r="AH18" i="30"/>
  <c r="AL18" i="30"/>
  <c r="AO22" i="30"/>
  <c r="AH22" i="30"/>
  <c r="AP22" i="30"/>
  <c r="AM22" i="30"/>
  <c r="AL22" i="30"/>
  <c r="AL20" i="30"/>
  <c r="AH21" i="30"/>
  <c r="AO21" i="30"/>
  <c r="AR21" i="30" s="1"/>
  <c r="M17" i="30"/>
  <c r="AP21" i="30"/>
  <c r="AP20" i="30"/>
  <c r="AS20" i="30" s="1"/>
  <c r="AH20" i="30"/>
  <c r="AT42" i="32"/>
  <c r="G15" i="16"/>
  <c r="AS23" i="33"/>
  <c r="AT23" i="33" s="1"/>
  <c r="AM25" i="44"/>
  <c r="AO25" i="44" s="1"/>
  <c r="AO22" i="44"/>
  <c r="AS23" i="31"/>
  <c r="AT23" i="31" s="1"/>
  <c r="C139" i="15"/>
  <c r="C160" i="15" s="1"/>
  <c r="C161" i="15" s="1"/>
  <c r="AT74" i="31"/>
  <c r="AG29" i="44"/>
  <c r="AN23" i="42"/>
  <c r="AO23" i="42" s="1"/>
  <c r="AS23" i="32"/>
  <c r="AT23" i="32" s="1"/>
  <c r="AR19" i="32"/>
  <c r="AT19" i="32" s="1"/>
  <c r="AS24" i="33"/>
  <c r="AT24" i="33" s="1"/>
  <c r="AM22" i="41"/>
  <c r="AM25" i="42"/>
  <c r="AN24" i="43"/>
  <c r="AO24" i="43" s="1"/>
  <c r="AS18" i="33"/>
  <c r="AO26" i="44"/>
  <c r="AM24" i="44"/>
  <c r="AO24" i="44" s="1"/>
  <c r="AM26" i="42"/>
  <c r="AO26" i="42" s="1"/>
  <c r="AR20" i="31"/>
  <c r="AT20" i="31" s="1"/>
  <c r="AO27" i="44"/>
  <c r="AK29" i="44"/>
  <c r="AN21" i="42"/>
  <c r="AO21" i="42" s="1"/>
  <c r="AR24" i="30"/>
  <c r="AT24" i="30" s="1"/>
  <c r="AN27" i="42"/>
  <c r="AO27" i="42" s="1"/>
  <c r="AI29" i="41"/>
  <c r="AM22" i="43"/>
  <c r="AO22" i="43" s="1"/>
  <c r="AL26" i="41"/>
  <c r="AM26" i="41" s="1"/>
  <c r="AK24" i="41"/>
  <c r="AM24" i="41" s="1"/>
  <c r="AH29" i="44"/>
  <c r="AN25" i="42"/>
  <c r="AJ29" i="44"/>
  <c r="AR21" i="32"/>
  <c r="AT21" i="32" s="1"/>
  <c r="AH29" i="41"/>
  <c r="G46" i="16"/>
  <c r="AS42" i="2"/>
  <c r="AO73" i="45"/>
  <c r="AR22" i="33"/>
  <c r="AN26" i="43"/>
  <c r="AO26" i="43" s="1"/>
  <c r="AN21" i="44"/>
  <c r="AN29" i="44" s="1"/>
  <c r="AN80" i="44" s="1"/>
  <c r="AN82" i="44" s="1"/>
  <c r="N80" i="46"/>
  <c r="O78" i="46"/>
  <c r="R78" i="46"/>
  <c r="R80" i="46" s="1"/>
  <c r="G79" i="46"/>
  <c r="AG29" i="42"/>
  <c r="G80" i="46"/>
  <c r="C44" i="47"/>
  <c r="C159" i="47"/>
  <c r="C160" i="47" s="1"/>
  <c r="AO73" i="42"/>
  <c r="AM23" i="41"/>
  <c r="AO45" i="43"/>
  <c r="K78" i="41"/>
  <c r="B22" i="46" s="1"/>
  <c r="AH73" i="41"/>
  <c r="AA73" i="41"/>
  <c r="AI73" i="41"/>
  <c r="C102" i="47"/>
  <c r="C103" i="47" s="1"/>
  <c r="AO58" i="42"/>
  <c r="R79" i="46"/>
  <c r="O79" i="46"/>
  <c r="L80" i="46"/>
  <c r="Q80" i="46"/>
  <c r="C271" i="47"/>
  <c r="C272" i="47" s="1"/>
  <c r="AS21" i="33"/>
  <c r="AO23" i="44"/>
  <c r="AM23" i="43"/>
  <c r="AO23" i="43" s="1"/>
  <c r="AO58" i="44"/>
  <c r="K80" i="46"/>
  <c r="AR18" i="32"/>
  <c r="AT18" i="32" s="1"/>
  <c r="AT70" i="30"/>
  <c r="L80" i="16"/>
  <c r="AJ29" i="42"/>
  <c r="AO26" i="32"/>
  <c r="AM27" i="43"/>
  <c r="AO27" i="43" s="1"/>
  <c r="AK29" i="42"/>
  <c r="AM22" i="42"/>
  <c r="I83" i="44"/>
  <c r="AN20" i="42"/>
  <c r="AO20" i="42" s="1"/>
  <c r="C103" i="15"/>
  <c r="C104" i="15" s="1"/>
  <c r="I84" i="44"/>
  <c r="AO86" i="44" s="1"/>
  <c r="AO99" i="44" s="1"/>
  <c r="AO100" i="44" s="1"/>
  <c r="AO17" i="2"/>
  <c r="AH29" i="42"/>
  <c r="AM21" i="45"/>
  <c r="AK29" i="43"/>
  <c r="AN25" i="43"/>
  <c r="AO25" i="43" s="1"/>
  <c r="AR18" i="33"/>
  <c r="I84" i="42"/>
  <c r="AO86" i="42" s="1"/>
  <c r="AO99" i="42" s="1"/>
  <c r="AO100" i="42" s="1"/>
  <c r="AN25" i="45"/>
  <c r="AN22" i="45"/>
  <c r="I101" i="42"/>
  <c r="K103" i="42" s="1"/>
  <c r="K108" i="42" s="1"/>
  <c r="AM21" i="44"/>
  <c r="AM24" i="42"/>
  <c r="AO24" i="42" s="1"/>
  <c r="AO85" i="42"/>
  <c r="AS19" i="33"/>
  <c r="AL17" i="32"/>
  <c r="AR17" i="32" s="1"/>
  <c r="N26" i="32"/>
  <c r="AR20" i="32"/>
  <c r="AT20" i="32" s="1"/>
  <c r="AS24" i="32"/>
  <c r="AT24" i="32" s="1"/>
  <c r="AS22" i="32"/>
  <c r="AT22" i="32" s="1"/>
  <c r="AH17" i="32"/>
  <c r="AP17" i="32"/>
  <c r="AP26" i="32" s="1"/>
  <c r="AN17" i="2"/>
  <c r="AN24" i="45"/>
  <c r="AL17" i="2"/>
  <c r="AS22" i="31"/>
  <c r="AR24" i="31"/>
  <c r="AM17" i="32"/>
  <c r="AM26" i="32" s="1"/>
  <c r="AM23" i="45"/>
  <c r="AN23" i="45"/>
  <c r="AR19" i="33"/>
  <c r="AR21" i="33"/>
  <c r="AS20" i="33"/>
  <c r="AJ29" i="43"/>
  <c r="I84" i="43"/>
  <c r="AO86" i="43" s="1"/>
  <c r="AO99" i="43" s="1"/>
  <c r="AO100" i="43" s="1"/>
  <c r="I83" i="43"/>
  <c r="AO85" i="43"/>
  <c r="AS22" i="33"/>
  <c r="AN27" i="45"/>
  <c r="AS21" i="31"/>
  <c r="AS18" i="31"/>
  <c r="AM27" i="45"/>
  <c r="AM26" i="45"/>
  <c r="AM27" i="41"/>
  <c r="AO20" i="44"/>
  <c r="AK20" i="45"/>
  <c r="AK29" i="45" s="1"/>
  <c r="AH20" i="45"/>
  <c r="AC20" i="45"/>
  <c r="AG20" i="45"/>
  <c r="AJ20" i="45"/>
  <c r="AJ29" i="45" s="1"/>
  <c r="K29" i="45"/>
  <c r="K80" i="45" s="1"/>
  <c r="B14" i="46"/>
  <c r="K80" i="41"/>
  <c r="AM24" i="45"/>
  <c r="AN21" i="45"/>
  <c r="AL20" i="41"/>
  <c r="AF29" i="41"/>
  <c r="AE29" i="41"/>
  <c r="AK20" i="41"/>
  <c r="AH29" i="43"/>
  <c r="AN20" i="43"/>
  <c r="AM20" i="43"/>
  <c r="AG29" i="43"/>
  <c r="AN26" i="45"/>
  <c r="AM25" i="45"/>
  <c r="AM22" i="45"/>
  <c r="C274" i="15"/>
  <c r="C275" i="15" s="1"/>
  <c r="AT74" i="30"/>
  <c r="C43" i="15"/>
  <c r="C23" i="15"/>
  <c r="AO78" i="42"/>
  <c r="C217" i="15"/>
  <c r="C218" i="15" s="1"/>
  <c r="C197" i="15"/>
  <c r="AO78" i="43"/>
  <c r="AO78" i="45"/>
  <c r="AR74" i="33"/>
  <c r="AT74" i="33" s="1"/>
  <c r="AT69" i="33"/>
  <c r="AO17" i="33"/>
  <c r="AO26" i="33" s="1"/>
  <c r="AM17" i="33"/>
  <c r="AH17" i="33"/>
  <c r="AP17" i="33"/>
  <c r="AP26" i="33" s="1"/>
  <c r="AL17" i="33"/>
  <c r="N26" i="33"/>
  <c r="AR20" i="33"/>
  <c r="AS74" i="32"/>
  <c r="AT74" i="32" s="1"/>
  <c r="AT70" i="32"/>
  <c r="AS24" i="31"/>
  <c r="AS19" i="31"/>
  <c r="AR18" i="31"/>
  <c r="AR19" i="31"/>
  <c r="AL17" i="31"/>
  <c r="AO17" i="31"/>
  <c r="AO26" i="31" s="1"/>
  <c r="N26" i="31"/>
  <c r="AP17" i="31"/>
  <c r="AP26" i="31" s="1"/>
  <c r="AH17" i="31"/>
  <c r="AM17" i="31"/>
  <c r="AR21" i="31"/>
  <c r="AR22" i="31"/>
  <c r="I80" i="16"/>
  <c r="AG17" i="2"/>
  <c r="E80" i="16"/>
  <c r="F78" i="16"/>
  <c r="F80" i="16" s="1"/>
  <c r="N80" i="16"/>
  <c r="O78" i="16"/>
  <c r="O80" i="16" s="1"/>
  <c r="AS70" i="2"/>
  <c r="AQ74" i="2"/>
  <c r="AS74" i="2" s="1"/>
  <c r="C44" i="15" l="1"/>
  <c r="O71" i="2"/>
  <c r="O74" i="2" s="1"/>
  <c r="B22" i="16" s="1"/>
  <c r="AR23" i="30"/>
  <c r="AT23" i="30" s="1"/>
  <c r="AS22" i="30"/>
  <c r="AS19" i="30"/>
  <c r="AT19" i="30" s="1"/>
  <c r="AR18" i="30"/>
  <c r="AT18" i="30" s="1"/>
  <c r="AR20" i="30"/>
  <c r="AT20" i="30" s="1"/>
  <c r="AS21" i="30"/>
  <c r="AT21" i="30" s="1"/>
  <c r="N17" i="30"/>
  <c r="M26" i="30"/>
  <c r="AR22" i="30"/>
  <c r="C140" i="15"/>
  <c r="AO25" i="42"/>
  <c r="AM29" i="44"/>
  <c r="AM80" i="44" s="1"/>
  <c r="AM82" i="44" s="1"/>
  <c r="AO82" i="44" s="1"/>
  <c r="AT18" i="33"/>
  <c r="AL29" i="41"/>
  <c r="AO22" i="45"/>
  <c r="AT22" i="33"/>
  <c r="AT21" i="33"/>
  <c r="O81" i="46"/>
  <c r="L81" i="46"/>
  <c r="AK73" i="41"/>
  <c r="AH78" i="41"/>
  <c r="O80" i="46"/>
  <c r="R81" i="46" s="1"/>
  <c r="AO21" i="45"/>
  <c r="AM29" i="42"/>
  <c r="AM80" i="42" s="1"/>
  <c r="AM82" i="42" s="1"/>
  <c r="C22" i="46"/>
  <c r="F22" i="46"/>
  <c r="E22" i="46"/>
  <c r="D22" i="46"/>
  <c r="AO21" i="44"/>
  <c r="AO29" i="44" s="1"/>
  <c r="AO80" i="44" s="1"/>
  <c r="AN83" i="44" s="1"/>
  <c r="AL73" i="41"/>
  <c r="AL78" i="41" s="1"/>
  <c r="AI78" i="41"/>
  <c r="AS17" i="32"/>
  <c r="AS26" i="32" s="1"/>
  <c r="AS76" i="32" s="1"/>
  <c r="AS78" i="32" s="1"/>
  <c r="L81" i="16"/>
  <c r="AQ17" i="2"/>
  <c r="AR17" i="2"/>
  <c r="AN29" i="42"/>
  <c r="AN80" i="42" s="1"/>
  <c r="AN82" i="42" s="1"/>
  <c r="AO22" i="42"/>
  <c r="AN29" i="43"/>
  <c r="AN80" i="43" s="1"/>
  <c r="AN82" i="43" s="1"/>
  <c r="AO24" i="45"/>
  <c r="I101" i="44"/>
  <c r="AL26" i="32"/>
  <c r="AP80" i="42"/>
  <c r="AO23" i="45"/>
  <c r="N76" i="32"/>
  <c r="AT81" i="32" s="1"/>
  <c r="AO25" i="45"/>
  <c r="AO26" i="45"/>
  <c r="AT24" i="31"/>
  <c r="AT19" i="33"/>
  <c r="AT18" i="31"/>
  <c r="AT22" i="31"/>
  <c r="AT19" i="31"/>
  <c r="AT20" i="33"/>
  <c r="I101" i="43"/>
  <c r="AT21" i="31"/>
  <c r="AM29" i="43"/>
  <c r="AM80" i="43" s="1"/>
  <c r="AM82" i="43" s="1"/>
  <c r="AO20" i="43"/>
  <c r="AO29" i="43" s="1"/>
  <c r="AO80" i="43" s="1"/>
  <c r="C14" i="46"/>
  <c r="F14" i="46"/>
  <c r="D14" i="46"/>
  <c r="B23" i="46"/>
  <c r="E14" i="46"/>
  <c r="AM20" i="41"/>
  <c r="AM29" i="41" s="1"/>
  <c r="AK29" i="41"/>
  <c r="AG29" i="45"/>
  <c r="AM20" i="45"/>
  <c r="AO27" i="45"/>
  <c r="AM85" i="41"/>
  <c r="I84" i="41"/>
  <c r="I101" i="41"/>
  <c r="I83" i="41"/>
  <c r="B26" i="46" s="1"/>
  <c r="AO85" i="45"/>
  <c r="I83" i="45"/>
  <c r="I84" i="45"/>
  <c r="AO86" i="45" s="1"/>
  <c r="AO99" i="45" s="1"/>
  <c r="AO100" i="45" s="1"/>
  <c r="AN20" i="45"/>
  <c r="AN29" i="45" s="1"/>
  <c r="AN80" i="45" s="1"/>
  <c r="AN82" i="45" s="1"/>
  <c r="AH29" i="45"/>
  <c r="AR17" i="33"/>
  <c r="AL26" i="33"/>
  <c r="N76" i="33"/>
  <c r="AS17" i="33"/>
  <c r="AS26" i="33" s="1"/>
  <c r="AS76" i="33" s="1"/>
  <c r="AM26" i="33"/>
  <c r="AR26" i="32"/>
  <c r="AR76" i="32" s="1"/>
  <c r="N76" i="31"/>
  <c r="AS17" i="31"/>
  <c r="AS26" i="31" s="1"/>
  <c r="AS76" i="31" s="1"/>
  <c r="AM26" i="31"/>
  <c r="AR17" i="31"/>
  <c r="AL26" i="31"/>
  <c r="O81" i="16"/>
  <c r="G78" i="16"/>
  <c r="G80" i="16" s="1"/>
  <c r="Q78" i="16"/>
  <c r="F22" i="16" l="1"/>
  <c r="E22" i="16"/>
  <c r="D22" i="16"/>
  <c r="C22" i="16"/>
  <c r="AT22" i="30"/>
  <c r="AL17" i="30"/>
  <c r="AL26" i="30" s="1"/>
  <c r="AH17" i="30"/>
  <c r="AO17" i="30"/>
  <c r="AM17" i="30"/>
  <c r="N26" i="30"/>
  <c r="N76" i="30" s="1"/>
  <c r="AP17" i="30"/>
  <c r="AP26" i="30" s="1"/>
  <c r="F23" i="46"/>
  <c r="AO29" i="42"/>
  <c r="AO80" i="42" s="1"/>
  <c r="AM83" i="42" s="1"/>
  <c r="C23" i="46"/>
  <c r="M89" i="2"/>
  <c r="L93" i="2" s="1"/>
  <c r="AL80" i="41"/>
  <c r="AL82" i="41" s="1"/>
  <c r="G22" i="46"/>
  <c r="E23" i="46"/>
  <c r="AS17" i="2"/>
  <c r="AM73" i="41"/>
  <c r="AK78" i="41"/>
  <c r="AM78" i="41" s="1"/>
  <c r="AM80" i="41" s="1"/>
  <c r="AK80" i="41"/>
  <c r="D23" i="46"/>
  <c r="AT17" i="32"/>
  <c r="AT26" i="32" s="1"/>
  <c r="AT76" i="32" s="1"/>
  <c r="AR79" i="32" s="1"/>
  <c r="AN101" i="44"/>
  <c r="AN103" i="44" s="1"/>
  <c r="AN108" i="44" s="1"/>
  <c r="AN111" i="44" s="1"/>
  <c r="L79" i="32"/>
  <c r="AM83" i="44"/>
  <c r="AO83" i="44" s="1"/>
  <c r="L80" i="32"/>
  <c r="AT82" i="32" s="1"/>
  <c r="AT94" i="32" s="1"/>
  <c r="AT95" i="32" s="1"/>
  <c r="I101" i="45"/>
  <c r="AP80" i="45" s="1"/>
  <c r="K103" i="44"/>
  <c r="K108" i="44" s="1"/>
  <c r="AP80" i="44"/>
  <c r="AQ80" i="44" s="1"/>
  <c r="AM101" i="44"/>
  <c r="AP80" i="43"/>
  <c r="AQ80" i="43" s="1"/>
  <c r="K103" i="43"/>
  <c r="K108" i="43" s="1"/>
  <c r="G14" i="46"/>
  <c r="AM101" i="43"/>
  <c r="AN83" i="43"/>
  <c r="AN101" i="43"/>
  <c r="AN103" i="43" s="1"/>
  <c r="AN105" i="43" s="1"/>
  <c r="AN110" i="43" s="1"/>
  <c r="AM83" i="43"/>
  <c r="AN80" i="41"/>
  <c r="B30" i="46"/>
  <c r="K103" i="41"/>
  <c r="AM86" i="41"/>
  <c r="AM99" i="41" s="1"/>
  <c r="AM100" i="41" s="1"/>
  <c r="B27" i="46"/>
  <c r="AM29" i="45"/>
  <c r="AM80" i="45" s="1"/>
  <c r="AO20" i="45"/>
  <c r="AO29" i="45" s="1"/>
  <c r="AO80" i="45" s="1"/>
  <c r="AN83" i="45" s="1"/>
  <c r="D26" i="46"/>
  <c r="C26" i="46"/>
  <c r="E26" i="46"/>
  <c r="F26" i="46"/>
  <c r="AK82" i="41"/>
  <c r="AO82" i="42"/>
  <c r="AO82" i="43"/>
  <c r="AS78" i="33"/>
  <c r="AT17" i="33"/>
  <c r="AT26" i="33" s="1"/>
  <c r="AT76" i="33" s="1"/>
  <c r="AS96" i="33" s="1"/>
  <c r="AR26" i="33"/>
  <c r="AR76" i="33" s="1"/>
  <c r="L79" i="33"/>
  <c r="L80" i="33"/>
  <c r="AT81" i="33"/>
  <c r="AR78" i="32"/>
  <c r="AT17" i="31"/>
  <c r="AT26" i="31" s="1"/>
  <c r="AT76" i="31" s="1"/>
  <c r="AS79" i="31" s="1"/>
  <c r="AR26" i="31"/>
  <c r="AR76" i="31" s="1"/>
  <c r="L79" i="31"/>
  <c r="L80" i="31"/>
  <c r="AT81" i="31"/>
  <c r="AS78" i="31"/>
  <c r="Q80" i="16"/>
  <c r="R78" i="16"/>
  <c r="R80" i="16" s="1"/>
  <c r="R81" i="16" s="1"/>
  <c r="G22" i="16" l="1"/>
  <c r="AQ80" i="42"/>
  <c r="AM26" i="30"/>
  <c r="AS17" i="30"/>
  <c r="AR17" i="30"/>
  <c r="AR26" i="30" s="1"/>
  <c r="AR76" i="30" s="1"/>
  <c r="AO26" i="30"/>
  <c r="L80" i="30"/>
  <c r="AT82" i="30" s="1"/>
  <c r="AT81" i="30"/>
  <c r="L79" i="30"/>
  <c r="AN83" i="42"/>
  <c r="AO83" i="42" s="1"/>
  <c r="AN101" i="42"/>
  <c r="AN103" i="42" s="1"/>
  <c r="AN105" i="42" s="1"/>
  <c r="AN110" i="42" s="1"/>
  <c r="AM101" i="42"/>
  <c r="AM103" i="42" s="1"/>
  <c r="AM105" i="42" s="1"/>
  <c r="AM110" i="42" s="1"/>
  <c r="G23" i="46"/>
  <c r="AS96" i="32"/>
  <c r="AL83" i="41"/>
  <c r="AK101" i="41"/>
  <c r="AK103" i="41" s="1"/>
  <c r="AL101" i="41"/>
  <c r="AL103" i="41" s="1"/>
  <c r="AK83" i="41"/>
  <c r="AO81" i="44"/>
  <c r="AN105" i="44"/>
  <c r="AN110" i="44" s="1"/>
  <c r="AO80" i="41"/>
  <c r="AO101" i="44"/>
  <c r="AS79" i="32"/>
  <c r="AT77" i="32" s="1"/>
  <c r="AR96" i="32"/>
  <c r="B96" i="32"/>
  <c r="AU76" i="32" s="1"/>
  <c r="AV76" i="32" s="1"/>
  <c r="AO104" i="44"/>
  <c r="AO109" i="44" s="1"/>
  <c r="AM103" i="44"/>
  <c r="AO103" i="44" s="1"/>
  <c r="K103" i="45"/>
  <c r="K108" i="45" s="1"/>
  <c r="AN108" i="43"/>
  <c r="AN111" i="43" s="1"/>
  <c r="AO101" i="43"/>
  <c r="AO81" i="43"/>
  <c r="AO104" i="43"/>
  <c r="AO109" i="43" s="1"/>
  <c r="AN101" i="45"/>
  <c r="AN103" i="45" s="1"/>
  <c r="AN105" i="45" s="1"/>
  <c r="AN110" i="45" s="1"/>
  <c r="G26" i="46"/>
  <c r="AM82" i="41"/>
  <c r="AM103" i="43"/>
  <c r="AO103" i="43" s="1"/>
  <c r="AO83" i="43"/>
  <c r="B32" i="46"/>
  <c r="K108" i="41"/>
  <c r="B34" i="46" s="1"/>
  <c r="AQ80" i="45"/>
  <c r="AM101" i="45"/>
  <c r="AM83" i="45"/>
  <c r="AM82" i="45"/>
  <c r="AO82" i="45" s="1"/>
  <c r="D30" i="46"/>
  <c r="D32" i="46" s="1"/>
  <c r="E30" i="46"/>
  <c r="E32" i="46" s="1"/>
  <c r="F30" i="46"/>
  <c r="F32" i="46" s="1"/>
  <c r="C30" i="46"/>
  <c r="C32" i="46" s="1"/>
  <c r="C27" i="46"/>
  <c r="F27" i="46"/>
  <c r="E27" i="46"/>
  <c r="D27" i="46"/>
  <c r="AS96" i="31"/>
  <c r="AR78" i="33"/>
  <c r="AT78" i="33" s="1"/>
  <c r="AR79" i="33"/>
  <c r="AR96" i="33"/>
  <c r="AT82" i="33"/>
  <c r="AT94" i="33" s="1"/>
  <c r="AT95" i="33" s="1"/>
  <c r="B96" i="33"/>
  <c r="AS79" i="33"/>
  <c r="AT78" i="32"/>
  <c r="B96" i="31"/>
  <c r="AT82" i="31"/>
  <c r="AT94" i="31" s="1"/>
  <c r="AT95" i="31" s="1"/>
  <c r="AR78" i="31"/>
  <c r="AT78" i="31" s="1"/>
  <c r="AR96" i="31"/>
  <c r="AR79" i="31"/>
  <c r="AM108" i="42" l="1"/>
  <c r="AM111" i="42" s="1"/>
  <c r="AT94" i="30"/>
  <c r="AT95" i="30" s="1"/>
  <c r="B96" i="30"/>
  <c r="AR78" i="30"/>
  <c r="AT17" i="30"/>
  <c r="AT26" i="30" s="1"/>
  <c r="AT76" i="30" s="1"/>
  <c r="AR96" i="30" s="1"/>
  <c r="AS26" i="30"/>
  <c r="AS76" i="30" s="1"/>
  <c r="AO103" i="42"/>
  <c r="AO104" i="42"/>
  <c r="AO109" i="42" s="1"/>
  <c r="AO110" i="42"/>
  <c r="AN108" i="42"/>
  <c r="AN111" i="42" s="1"/>
  <c r="AO81" i="42"/>
  <c r="AO101" i="42"/>
  <c r="AM83" i="41"/>
  <c r="AM81" i="41"/>
  <c r="AM104" i="41"/>
  <c r="AM109" i="41" s="1"/>
  <c r="AM101" i="41"/>
  <c r="AT79" i="32"/>
  <c r="AT96" i="32"/>
  <c r="AT101" i="32"/>
  <c r="AO105" i="44"/>
  <c r="N96" i="32"/>
  <c r="N100" i="32" s="1"/>
  <c r="AM108" i="44"/>
  <c r="AM105" i="44"/>
  <c r="AM110" i="44" s="1"/>
  <c r="AO110" i="44" s="1"/>
  <c r="AM108" i="43"/>
  <c r="AO108" i="43" s="1"/>
  <c r="AM105" i="43"/>
  <c r="AM110" i="43" s="1"/>
  <c r="AO110" i="43" s="1"/>
  <c r="AN108" i="45"/>
  <c r="AN111" i="45" s="1"/>
  <c r="AO105" i="43"/>
  <c r="G27" i="46"/>
  <c r="AM103" i="41"/>
  <c r="AK105" i="41"/>
  <c r="AK110" i="41" s="1"/>
  <c r="AK108" i="41"/>
  <c r="F40" i="46"/>
  <c r="F41" i="46" s="1"/>
  <c r="F34" i="46"/>
  <c r="AO83" i="45"/>
  <c r="AO81" i="45"/>
  <c r="E34" i="46"/>
  <c r="E40" i="46"/>
  <c r="E41" i="46" s="1"/>
  <c r="AO104" i="45"/>
  <c r="AO109" i="45" s="1"/>
  <c r="AO101" i="45"/>
  <c r="AM103" i="45"/>
  <c r="G30" i="46"/>
  <c r="D34" i="46"/>
  <c r="D40" i="46"/>
  <c r="D41" i="46" s="1"/>
  <c r="AL105" i="41"/>
  <c r="AL110" i="41" s="1"/>
  <c r="AL108" i="41"/>
  <c r="C40" i="46"/>
  <c r="C41" i="46" s="1"/>
  <c r="C34" i="46"/>
  <c r="B40" i="46"/>
  <c r="G32" i="46"/>
  <c r="AS100" i="31"/>
  <c r="AS103" i="31" s="1"/>
  <c r="AT79" i="33"/>
  <c r="AT77" i="33"/>
  <c r="N96" i="33"/>
  <c r="N100" i="33" s="1"/>
  <c r="AU76" i="33"/>
  <c r="AV76" i="33" s="1"/>
  <c r="AT101" i="33"/>
  <c r="AT96" i="33"/>
  <c r="AR98" i="32"/>
  <c r="AR102" i="32" s="1"/>
  <c r="AR100" i="32"/>
  <c r="AS98" i="32"/>
  <c r="AS102" i="32" s="1"/>
  <c r="AS100" i="32"/>
  <c r="N96" i="31"/>
  <c r="N100" i="31" s="1"/>
  <c r="AU76" i="31"/>
  <c r="AV76" i="31" s="1"/>
  <c r="AT77" i="31"/>
  <c r="AT79" i="31"/>
  <c r="AT96" i="31"/>
  <c r="AT101" i="31"/>
  <c r="AO105" i="42" l="1"/>
  <c r="AS78" i="30"/>
  <c r="AT78" i="30" s="1"/>
  <c r="AS96" i="30"/>
  <c r="AS97" i="30" s="1"/>
  <c r="AS79" i="30"/>
  <c r="AR79" i="30"/>
  <c r="N96" i="30"/>
  <c r="N100" i="30" s="1"/>
  <c r="AU76" i="30"/>
  <c r="AV76" i="30" s="1"/>
  <c r="AO108" i="42"/>
  <c r="AM112" i="42" s="1"/>
  <c r="AM105" i="41"/>
  <c r="AT98" i="32"/>
  <c r="AM110" i="41"/>
  <c r="AM111" i="44"/>
  <c r="AO108" i="44"/>
  <c r="AM111" i="43"/>
  <c r="AS98" i="31"/>
  <c r="AS102" i="31" s="1"/>
  <c r="B41" i="46"/>
  <c r="G41" i="46" s="1"/>
  <c r="G40" i="46"/>
  <c r="AM105" i="45"/>
  <c r="AM110" i="45" s="1"/>
  <c r="AO110" i="45" s="1"/>
  <c r="AO103" i="45"/>
  <c r="AO105" i="45" s="1"/>
  <c r="AM108" i="45"/>
  <c r="G34" i="46"/>
  <c r="AM108" i="41"/>
  <c r="AL225" i="41" s="1"/>
  <c r="AO111" i="43"/>
  <c r="AN112" i="43"/>
  <c r="AM112" i="43"/>
  <c r="AR98" i="33"/>
  <c r="AR102" i="33" s="1"/>
  <c r="AT98" i="33"/>
  <c r="AR100" i="33"/>
  <c r="AS98" i="33"/>
  <c r="AS102" i="33" s="1"/>
  <c r="AS100" i="33"/>
  <c r="AS103" i="32"/>
  <c r="AR103" i="32"/>
  <c r="AT100" i="32"/>
  <c r="AT103" i="32" s="1"/>
  <c r="AT102" i="32"/>
  <c r="AT98" i="31"/>
  <c r="AR98" i="31"/>
  <c r="AR102" i="31" s="1"/>
  <c r="AR100" i="31"/>
  <c r="AO111" i="42" l="1"/>
  <c r="AS102" i="30"/>
  <c r="AS100" i="30"/>
  <c r="AS103" i="30" s="1"/>
  <c r="AT77" i="30"/>
  <c r="AT79" i="30"/>
  <c r="AR97" i="30"/>
  <c r="AR102" i="30" s="1"/>
  <c r="AR100" i="30"/>
  <c r="AT101" i="30"/>
  <c r="AT96" i="30"/>
  <c r="AN112" i="42"/>
  <c r="AO112" i="42" s="1"/>
  <c r="AK225" i="41"/>
  <c r="AM225" i="41" s="1"/>
  <c r="AT102" i="31"/>
  <c r="AO111" i="44"/>
  <c r="AN234" i="44"/>
  <c r="AM234" i="44"/>
  <c r="AM111" i="45"/>
  <c r="AO108" i="45"/>
  <c r="AO112" i="43"/>
  <c r="AR103" i="33"/>
  <c r="AT100" i="33"/>
  <c r="AT103" i="33" s="1"/>
  <c r="AS103" i="33"/>
  <c r="AT102" i="33"/>
  <c r="AR238" i="32"/>
  <c r="AS238" i="32"/>
  <c r="AT100" i="31"/>
  <c r="AR104" i="31" s="1"/>
  <c r="AR103" i="31"/>
  <c r="AT102" i="30" l="1"/>
  <c r="AT100" i="30"/>
  <c r="AR104" i="30" s="1"/>
  <c r="AR103" i="30"/>
  <c r="AT97" i="30"/>
  <c r="AO234" i="44"/>
  <c r="AM112" i="45"/>
  <c r="AO111" i="45"/>
  <c r="AN112" i="45"/>
  <c r="AT238" i="32"/>
  <c r="AR104" i="33"/>
  <c r="AS104" i="33"/>
  <c r="AS104" i="31"/>
  <c r="AT104" i="31" s="1"/>
  <c r="AT103" i="31"/>
  <c r="AT103" i="30" l="1"/>
  <c r="AS104" i="30"/>
  <c r="AT104" i="30" s="1"/>
  <c r="AO112" i="45"/>
  <c r="AT104" i="33"/>
  <c r="B31" i="16" l="1"/>
  <c r="D31" i="16" s="1"/>
  <c r="D93" i="2"/>
  <c r="M87" i="2"/>
  <c r="M94" i="2"/>
  <c r="M91" i="2"/>
  <c r="M85" i="2"/>
  <c r="AA23" i="2"/>
  <c r="L23" i="2"/>
  <c r="AA20" i="2"/>
  <c r="AA24" i="2"/>
  <c r="AA21" i="2"/>
  <c r="AA22" i="2"/>
  <c r="AA19" i="2"/>
  <c r="L19" i="2"/>
  <c r="N19" i="2" s="1"/>
  <c r="AA18" i="2"/>
  <c r="L18" i="2" l="1"/>
  <c r="N18" i="2" s="1"/>
  <c r="O18" i="2" s="1"/>
  <c r="L22" i="2"/>
  <c r="N22" i="2" s="1"/>
  <c r="E31" i="16"/>
  <c r="C31" i="16"/>
  <c r="F31" i="16"/>
  <c r="O19" i="2"/>
  <c r="N23" i="2"/>
  <c r="O23" i="2" s="1"/>
  <c r="L20" i="2"/>
  <c r="L21" i="2"/>
  <c r="O22" i="2" l="1"/>
  <c r="AG22" i="2" s="1"/>
  <c r="AL23" i="2"/>
  <c r="AN23" i="2"/>
  <c r="AO23" i="2"/>
  <c r="AK23" i="2"/>
  <c r="AG23" i="2"/>
  <c r="N21" i="2"/>
  <c r="O21" i="2" s="1"/>
  <c r="AL18" i="2"/>
  <c r="AG18" i="2"/>
  <c r="AO18" i="2"/>
  <c r="AK18" i="2"/>
  <c r="AN18" i="2"/>
  <c r="N20" i="2"/>
  <c r="O20" i="2" s="1"/>
  <c r="AL19" i="2"/>
  <c r="AK19" i="2"/>
  <c r="AN19" i="2"/>
  <c r="AO19" i="2"/>
  <c r="AG19" i="2"/>
  <c r="L26" i="2"/>
  <c r="O26" i="2" l="1"/>
  <c r="AN22" i="2"/>
  <c r="AO22" i="2"/>
  <c r="AK22" i="2"/>
  <c r="AL22" i="2"/>
  <c r="AQ23" i="2"/>
  <c r="N26" i="2"/>
  <c r="AR19" i="2"/>
  <c r="AQ19" i="2"/>
  <c r="AL24" i="2"/>
  <c r="AG24" i="2"/>
  <c r="AK24" i="2"/>
  <c r="AN24" i="2"/>
  <c r="AO24" i="2"/>
  <c r="AN21" i="2"/>
  <c r="AG21" i="2"/>
  <c r="AL21" i="2"/>
  <c r="AO21" i="2"/>
  <c r="AK21" i="2"/>
  <c r="AR18" i="2"/>
  <c r="AK20" i="2"/>
  <c r="AL20" i="2"/>
  <c r="AG20" i="2"/>
  <c r="AN20" i="2"/>
  <c r="AO20" i="2"/>
  <c r="AQ18" i="2"/>
  <c r="AR23" i="2"/>
  <c r="AQ22" i="2" l="1"/>
  <c r="AR22" i="2"/>
  <c r="AS19" i="2"/>
  <c r="AS23" i="2"/>
  <c r="AQ20" i="2"/>
  <c r="AR20" i="2"/>
  <c r="AO26" i="2"/>
  <c r="AN26" i="2"/>
  <c r="AR21" i="2"/>
  <c r="AL26" i="2"/>
  <c r="O76" i="2"/>
  <c r="B14" i="16"/>
  <c r="AS18" i="2"/>
  <c r="AK26" i="2"/>
  <c r="AQ24" i="2"/>
  <c r="AQ21" i="2"/>
  <c r="AR24" i="2"/>
  <c r="AS22" i="2" l="1"/>
  <c r="AS20" i="2"/>
  <c r="AS21" i="2"/>
  <c r="AQ26" i="2"/>
  <c r="AQ76" i="2" s="1"/>
  <c r="AQ78" i="2" s="1"/>
  <c r="AR26" i="2"/>
  <c r="AR76" i="2" s="1"/>
  <c r="AR78" i="2" s="1"/>
  <c r="D14" i="16"/>
  <c r="B23" i="16"/>
  <c r="F14" i="16"/>
  <c r="C14" i="16"/>
  <c r="E14" i="16"/>
  <c r="M79" i="2"/>
  <c r="B26" i="16" s="1"/>
  <c r="AS81" i="2"/>
  <c r="M80" i="2"/>
  <c r="AS24" i="2"/>
  <c r="AS26" i="2" l="1"/>
  <c r="AS76" i="2" s="1"/>
  <c r="AQ97" i="2" s="1"/>
  <c r="G14" i="16"/>
  <c r="AS78" i="2"/>
  <c r="AS82" i="2"/>
  <c r="AS95" i="2" s="1"/>
  <c r="AS96" i="2" s="1"/>
  <c r="B27" i="16"/>
  <c r="B97" i="2"/>
  <c r="O97" i="2" s="1"/>
  <c r="O99" i="2" s="1"/>
  <c r="E23" i="16"/>
  <c r="B38" i="16"/>
  <c r="C23" i="16"/>
  <c r="F23" i="16"/>
  <c r="D23" i="16"/>
  <c r="F26" i="16"/>
  <c r="C26" i="16"/>
  <c r="D26" i="16"/>
  <c r="E26" i="16"/>
  <c r="AQ79" i="2" l="1"/>
  <c r="AR97" i="2"/>
  <c r="AR79" i="2"/>
  <c r="G26" i="16"/>
  <c r="G23" i="16"/>
  <c r="AT76" i="2"/>
  <c r="AU76" i="2" s="1"/>
  <c r="B30" i="16"/>
  <c r="F27" i="16"/>
  <c r="F38" i="16" s="1"/>
  <c r="E27" i="16"/>
  <c r="E38" i="16" s="1"/>
  <c r="D27" i="16"/>
  <c r="D38" i="16" s="1"/>
  <c r="C27" i="16"/>
  <c r="C38" i="16" s="1"/>
  <c r="AS97" i="2" l="1"/>
  <c r="AS79" i="2"/>
  <c r="AS77" i="2"/>
  <c r="AS100" i="2"/>
  <c r="G38" i="16"/>
  <c r="G27" i="16"/>
  <c r="C30" i="16"/>
  <c r="C32" i="16" s="1"/>
  <c r="D30" i="16"/>
  <c r="D32" i="16" s="1"/>
  <c r="F30" i="16"/>
  <c r="F32" i="16" s="1"/>
  <c r="E30" i="16"/>
  <c r="E32" i="16" s="1"/>
  <c r="AR101" i="2"/>
  <c r="AR99" i="2"/>
  <c r="B32" i="16"/>
  <c r="B34" i="16"/>
  <c r="AQ101" i="2"/>
  <c r="AQ99" i="2"/>
  <c r="AS101" i="2" l="1"/>
  <c r="G30" i="16"/>
  <c r="F40" i="16"/>
  <c r="F41" i="16" s="1"/>
  <c r="F34" i="16"/>
  <c r="C40" i="16"/>
  <c r="C41" i="16" s="1"/>
  <c r="C34" i="16"/>
  <c r="G32" i="16"/>
  <c r="B40" i="16"/>
  <c r="D40" i="16"/>
  <c r="D41" i="16" s="1"/>
  <c r="D34" i="16"/>
  <c r="AS99" i="2"/>
  <c r="AR226" i="2" s="1"/>
  <c r="E40" i="16"/>
  <c r="E41" i="16" s="1"/>
  <c r="E34" i="16"/>
  <c r="AQ226" i="2" l="1"/>
  <c r="AS226" i="2" s="1"/>
  <c r="G34" i="16"/>
  <c r="G40" i="16"/>
  <c r="B41" i="16"/>
  <c r="G41" i="16" s="1"/>
</calcChain>
</file>

<file path=xl/comments1.xml><?xml version="1.0" encoding="utf-8"?>
<comments xmlns="http://schemas.openxmlformats.org/spreadsheetml/2006/main">
  <authors>
    <author>Gottlieb, Allison</author>
  </authors>
  <commentList>
    <comment ref="L8" authorId="0" shapeId="0">
      <text>
        <r>
          <rPr>
            <b/>
            <sz val="9"/>
            <color indexed="81"/>
            <rFont val="Tahoma"/>
            <family val="2"/>
          </rPr>
          <t>New projects will not have GCO#s.</t>
        </r>
      </text>
    </comment>
    <comment ref="L9" authorId="0" shapeId="0">
      <text>
        <r>
          <rPr>
            <b/>
            <sz val="9"/>
            <color indexed="81"/>
            <rFont val="Tahoma"/>
            <family val="2"/>
          </rPr>
          <t>New projects will not have fund #s.</t>
        </r>
        <r>
          <rPr>
            <sz val="9"/>
            <color indexed="81"/>
            <rFont val="Tahoma"/>
            <family val="2"/>
          </rPr>
          <t xml:space="preserve">
</t>
        </r>
      </text>
    </comment>
    <comment ref="L10" authorId="0" shapeId="0">
      <text>
        <r>
          <rPr>
            <b/>
            <sz val="9"/>
            <color indexed="81"/>
            <rFont val="Tahoma"/>
            <family val="2"/>
          </rPr>
          <t>New projects will not have Agency #s.</t>
        </r>
        <r>
          <rPr>
            <sz val="9"/>
            <color indexed="81"/>
            <rFont val="Tahoma"/>
            <family val="2"/>
          </rPr>
          <t xml:space="preserve">
</t>
        </r>
      </text>
    </comment>
  </commentList>
</comments>
</file>

<file path=xl/comments2.xml><?xml version="1.0" encoding="utf-8"?>
<comments xmlns="http://schemas.openxmlformats.org/spreadsheetml/2006/main">
  <authors>
    <author>Gottlieb, Allison</author>
  </authors>
  <commentList>
    <comment ref="K8" authorId="0" shapeId="0">
      <text>
        <r>
          <rPr>
            <b/>
            <sz val="9"/>
            <color indexed="81"/>
            <rFont val="Tahoma"/>
            <family val="2"/>
          </rPr>
          <t>New projects will not have GCO#s.</t>
        </r>
      </text>
    </comment>
    <comment ref="K9" authorId="0" shapeId="0">
      <text>
        <r>
          <rPr>
            <b/>
            <sz val="9"/>
            <color indexed="81"/>
            <rFont val="Tahoma"/>
            <family val="2"/>
          </rPr>
          <t>New projects will not have fund #s.</t>
        </r>
        <r>
          <rPr>
            <sz val="9"/>
            <color indexed="81"/>
            <rFont val="Tahoma"/>
            <family val="2"/>
          </rPr>
          <t xml:space="preserve">
</t>
        </r>
      </text>
    </comment>
    <comment ref="K10" authorId="0" shapeId="0">
      <text>
        <r>
          <rPr>
            <b/>
            <sz val="9"/>
            <color indexed="81"/>
            <rFont val="Tahoma"/>
            <family val="2"/>
          </rPr>
          <t>New projects will not have Agency #s.</t>
        </r>
        <r>
          <rPr>
            <sz val="9"/>
            <color indexed="81"/>
            <rFont val="Tahoma"/>
            <family val="2"/>
          </rPr>
          <t xml:space="preserve">
</t>
        </r>
      </text>
    </comment>
  </commentList>
</comments>
</file>

<file path=xl/comments3.xml><?xml version="1.0" encoding="utf-8"?>
<comments xmlns="http://schemas.openxmlformats.org/spreadsheetml/2006/main">
  <authors>
    <author>Gottlieb, Allison</author>
  </authors>
  <commentList>
    <comment ref="A12" authorId="0" shapeId="0">
      <text>
        <r>
          <rPr>
            <b/>
            <sz val="9"/>
            <color indexed="81"/>
            <rFont val="Tahoma"/>
            <family val="2"/>
          </rPr>
          <t>New projects will not have GCO#s.</t>
        </r>
      </text>
    </comment>
    <comment ref="A13" authorId="0" shapeId="0">
      <text>
        <r>
          <rPr>
            <b/>
            <sz val="9"/>
            <color indexed="81"/>
            <rFont val="Tahoma"/>
            <family val="2"/>
          </rPr>
          <t>New projects will not have fund #s.</t>
        </r>
        <r>
          <rPr>
            <sz val="9"/>
            <color indexed="81"/>
            <rFont val="Tahoma"/>
            <family val="2"/>
          </rPr>
          <t xml:space="preserve">
</t>
        </r>
      </text>
    </comment>
    <comment ref="A14" authorId="0" shapeId="0">
      <text>
        <r>
          <rPr>
            <b/>
            <sz val="9"/>
            <color indexed="81"/>
            <rFont val="Tahoma"/>
            <family val="2"/>
          </rPr>
          <t>New projects will not have Agency #s.</t>
        </r>
        <r>
          <rPr>
            <sz val="9"/>
            <color indexed="81"/>
            <rFont val="Tahoma"/>
            <family val="2"/>
          </rPr>
          <t xml:space="preserve">
</t>
        </r>
      </text>
    </comment>
  </commentList>
</comments>
</file>

<file path=xl/sharedStrings.xml><?xml version="1.0" encoding="utf-8"?>
<sst xmlns="http://schemas.openxmlformats.org/spreadsheetml/2006/main" count="4404" uniqueCount="640">
  <si>
    <t>Y1</t>
  </si>
  <si>
    <t>Y2</t>
  </si>
  <si>
    <t>Y3</t>
  </si>
  <si>
    <t>Y4</t>
  </si>
  <si>
    <t>Total</t>
  </si>
  <si>
    <t>PERSONNEL</t>
  </si>
  <si>
    <t>% effort</t>
  </si>
  <si>
    <t>Requested Salary</t>
  </si>
  <si>
    <t>Funds Requested</t>
  </si>
  <si>
    <t>PERSONNEL subtotal</t>
  </si>
  <si>
    <t xml:space="preserve">SUPPLIES </t>
  </si>
  <si>
    <t>Y5</t>
  </si>
  <si>
    <t>SUPPLIES subtotal</t>
  </si>
  <si>
    <t>CONSULTANTS</t>
  </si>
  <si>
    <t>CONSULTANTS subtotal</t>
  </si>
  <si>
    <t>TRAVEL</t>
  </si>
  <si>
    <t>TRAVEL subtotal</t>
  </si>
  <si>
    <t>Y1 - Y5</t>
  </si>
  <si>
    <t>TOTAL COSTS (TC)</t>
  </si>
  <si>
    <t>Additional Calculations</t>
  </si>
  <si>
    <t>CM</t>
  </si>
  <si>
    <t xml:space="preserve">Non-Federal = </t>
  </si>
  <si>
    <t>Federal =</t>
  </si>
  <si>
    <t>OTHER DIRECT COST CALCULATIONS</t>
  </si>
  <si>
    <t>Amount of Base</t>
  </si>
  <si>
    <t>Role</t>
  </si>
  <si>
    <t>DIRECT COSTS SUBTOTAL (ISMMS DC)</t>
  </si>
  <si>
    <t>Base Salary</t>
  </si>
  <si>
    <t>DIRECT COSTS (DC)</t>
  </si>
  <si>
    <t>PATIENT CARE COSTS</t>
  </si>
  <si>
    <t>PATIENT CARE COSTS subtotal</t>
  </si>
  <si>
    <t>Personnel</t>
  </si>
  <si>
    <t>Consultants</t>
  </si>
  <si>
    <t>Supplies</t>
  </si>
  <si>
    <t>Travel</t>
  </si>
  <si>
    <t>Total Costs (TC)</t>
  </si>
  <si>
    <t>Name</t>
  </si>
  <si>
    <t>PI Name:</t>
  </si>
  <si>
    <t>Funding Agency Name:</t>
  </si>
  <si>
    <t>Project Title:</t>
  </si>
  <si>
    <t>Budget Period:</t>
  </si>
  <si>
    <t>GCO #:</t>
  </si>
  <si>
    <t>Fund #:</t>
  </si>
  <si>
    <t>Agency #:</t>
  </si>
  <si>
    <t>Fringe Benefit Rates</t>
  </si>
  <si>
    <t>Federal grants - excluded from Amount of Base</t>
  </si>
  <si>
    <t>Project Period:</t>
  </si>
  <si>
    <t>SUBAWARDS subtotal</t>
  </si>
  <si>
    <t>F&amp;A subtotal</t>
  </si>
  <si>
    <t>FACILITIES AND ADMINISTRATIVE COSTS (F&amp;A)</t>
  </si>
  <si>
    <t>Other Direct Cost Calculations</t>
  </si>
  <si>
    <r>
      <t>DC Subtotal</t>
    </r>
    <r>
      <rPr>
        <sz val="11"/>
        <rFont val="Arial"/>
        <family val="2"/>
      </rPr>
      <t xml:space="preserve"> </t>
    </r>
  </si>
  <si>
    <t>F&amp;A Rate</t>
  </si>
  <si>
    <t>Patient Care Costs</t>
  </si>
  <si>
    <t>Fringe Rate</t>
  </si>
  <si>
    <t>Fringe Amt</t>
  </si>
  <si>
    <t>F&amp;A Rates</t>
  </si>
  <si>
    <t>ISMMS DETAILED BUDGET</t>
  </si>
  <si>
    <t>ISMMS ENTIRE BUDGET SUMMARY</t>
  </si>
  <si>
    <t>Yes</t>
  </si>
  <si>
    <t>No</t>
  </si>
  <si>
    <t>1.  Is the source of the funding federal?</t>
  </si>
  <si>
    <t>$ value</t>
  </si>
  <si>
    <t>Yes-No Qs</t>
  </si>
  <si>
    <t>Modular Amount</t>
  </si>
  <si>
    <t>OTHER DIRECT COSTS</t>
  </si>
  <si>
    <t>OTHER DIRECT COSTS subtotal</t>
  </si>
  <si>
    <t>Other Direct Costs</t>
  </si>
  <si>
    <t>SUBAWARDS (Subs)</t>
  </si>
  <si>
    <t xml:space="preserve">   a.  This project includes a subaward or subawards.</t>
  </si>
  <si>
    <t># of Subs</t>
  </si>
  <si>
    <t>Subs Total</t>
  </si>
  <si>
    <t>Subs DC</t>
  </si>
  <si>
    <t>Subs F&amp;A</t>
  </si>
  <si>
    <t>DIRECT COSTS SUBTOTAL (ISMMS DC + Subs DC + Subs F&amp;A)</t>
  </si>
  <si>
    <t>DIRECT COSTS SUBTOTAL (ISMMS DC + Subs DC)</t>
  </si>
  <si>
    <t>part-time</t>
  </si>
  <si>
    <t>full-time</t>
  </si>
  <si>
    <t>Health Insurance</t>
  </si>
  <si>
    <t>Direct Compensation</t>
  </si>
  <si>
    <t>Amount Type</t>
  </si>
  <si>
    <t>per credit</t>
  </si>
  <si>
    <t>Y1 Predoc</t>
  </si>
  <si>
    <t>Y2 Predoc</t>
  </si>
  <si>
    <t>Y3 Predoc</t>
  </si>
  <si>
    <t>Y4 Predoc</t>
  </si>
  <si>
    <t>Y5 Predoc</t>
  </si>
  <si>
    <t>Amount</t>
  </si>
  <si>
    <t>Graduate School Tuition Schedule</t>
  </si>
  <si>
    <t>Total Compensation</t>
  </si>
  <si>
    <t>Balance</t>
  </si>
  <si>
    <t xml:space="preserve"> Direct Compensation</t>
  </si>
  <si>
    <t xml:space="preserve"> Health Insurance</t>
  </si>
  <si>
    <t>Grad Student:  p/t or f/t status</t>
  </si>
  <si>
    <t>NIH Policy on Compensating Graduate Students on NIH Grants</t>
  </si>
  <si>
    <t xml:space="preserve"> Total</t>
  </si>
  <si>
    <t xml:space="preserve">The maximum amount the NIH awards for graduate student research assistants on grants or cooperative </t>
  </si>
  <si>
    <t>Subawards (Subs) - F&amp;A</t>
  </si>
  <si>
    <r>
      <t xml:space="preserve">ISMMS DC Only </t>
    </r>
    <r>
      <rPr>
        <sz val="11"/>
        <rFont val="Arial"/>
        <family val="2"/>
      </rPr>
      <t>(Subs NOT included)</t>
    </r>
  </si>
  <si>
    <r>
      <t xml:space="preserve">NIH Modular Amount </t>
    </r>
    <r>
      <rPr>
        <sz val="11"/>
        <rFont val="Arial"/>
        <family val="2"/>
      </rPr>
      <t>(ISMMS DC + Subs DC rounded up to the nearest 25,000 module)</t>
    </r>
  </si>
  <si>
    <r>
      <t xml:space="preserve">Facilities and Administrative Cost (F&amp;A) </t>
    </r>
    <r>
      <rPr>
        <sz val="11"/>
        <rFont val="Arial"/>
        <family val="2"/>
      </rPr>
      <t>ISMMS F&amp;A only; does not include Subs F&amp;A.</t>
    </r>
  </si>
  <si>
    <t>agreements is tied to the post doc level 0 amount on NRSA grants.  Since the current NRSA post doc level 0 amount</t>
  </si>
  <si>
    <t>is $42,000,  the graduate student compensation package is also capped at that amount.</t>
  </si>
  <si>
    <t>Subs: TC Less than $25,000</t>
  </si>
  <si>
    <t>Genomic Arrays: Excludable Item from F&amp;A</t>
  </si>
  <si>
    <t>Year #:</t>
  </si>
  <si>
    <r>
      <t xml:space="preserve">   b.  At least one of the subaward </t>
    </r>
    <r>
      <rPr>
        <u/>
        <sz val="11"/>
        <rFont val="Arial"/>
        <family val="2"/>
      </rPr>
      <t>total cost</t>
    </r>
    <r>
      <rPr>
        <sz val="11"/>
        <rFont val="Arial"/>
        <family val="2"/>
      </rPr>
      <t xml:space="preserve"> budgets (direct costs and facilities and administrative costs) is </t>
    </r>
    <r>
      <rPr>
        <u/>
        <sz val="11"/>
        <rFont val="Arial"/>
        <family val="2"/>
      </rPr>
      <t>equal to or greater</t>
    </r>
    <r>
      <rPr>
        <sz val="11"/>
        <rFont val="Arial"/>
        <family val="2"/>
      </rPr>
      <t xml:space="preserve"> than $25,000.</t>
    </r>
  </si>
  <si>
    <t xml:space="preserve"> Tuition/Fees</t>
  </si>
  <si>
    <r>
      <t xml:space="preserve">NIH MODULAR AMOUNT (ISMMS DC + Subs DC;  you </t>
    </r>
    <r>
      <rPr>
        <u/>
        <sz val="11"/>
        <rFont val="Arial"/>
        <family val="2"/>
      </rPr>
      <t>must</t>
    </r>
    <r>
      <rPr>
        <sz val="11"/>
        <rFont val="Arial"/>
        <family val="2"/>
      </rPr>
      <t xml:space="preserve"> answer the modular question below.)</t>
    </r>
  </si>
  <si>
    <t>Graduate Student #1</t>
  </si>
  <si>
    <t>Graduate Student #2</t>
  </si>
  <si>
    <t>Total Compensation Package Cap (NIH Set Amount):</t>
  </si>
  <si>
    <t>Remember to also enter the Grad Student's name, role, and % effort in the "Personnel" section of the budget.</t>
  </si>
  <si>
    <t>Years</t>
  </si>
  <si>
    <t>Non-Federal: Excludable Items from F&amp;A</t>
  </si>
  <si>
    <t>How many years will your project run?</t>
  </si>
  <si>
    <r>
      <t xml:space="preserve">   c.  At least one of the subaward </t>
    </r>
    <r>
      <rPr>
        <u/>
        <sz val="11"/>
        <rFont val="Arial"/>
        <family val="2"/>
      </rPr>
      <t>total cost</t>
    </r>
    <r>
      <rPr>
        <sz val="11"/>
        <rFont val="Arial"/>
        <family val="2"/>
      </rPr>
      <t xml:space="preserve"> budgets (direct costs and facilities and administrative costs) is </t>
    </r>
    <r>
      <rPr>
        <u/>
        <sz val="11"/>
        <rFont val="Arial"/>
        <family val="2"/>
      </rPr>
      <t>less than</t>
    </r>
    <r>
      <rPr>
        <sz val="11"/>
        <rFont val="Arial"/>
        <family val="2"/>
      </rPr>
      <t xml:space="preserve"> $25,000.</t>
    </r>
  </si>
  <si>
    <t>Year 1</t>
  </si>
  <si>
    <t>Year 2</t>
  </si>
  <si>
    <t>Continuation Subs: TC Less than $25,000</t>
  </si>
  <si>
    <t>EQUIPMENT / ALTERATIONS &amp; RENOVATIONS</t>
  </si>
  <si>
    <t>EQUIPMENT / ALTERATIONS &amp; RENOVATIONS subtotal</t>
  </si>
  <si>
    <t xml:space="preserve">   If the answer is Yes, in addition to entering these costs in your budget, enter the same amounts in the boxes provided.</t>
  </si>
  <si>
    <t xml:space="preserve">     If the F&amp;A Rate is not in the drop down menu, please add the rate in the space provided. Then choose that rate from the "F&amp;A Rate" box in your budget.</t>
  </si>
  <si>
    <t xml:space="preserve">     If Yes, this form will calculate fringe benefits on salaries using the federal rate of 28% and will exclude the standard excludable items when calculating F&amp;A.</t>
  </si>
  <si>
    <t xml:space="preserve">     If No, this form will calculate fringe benefits on salaries using the non-federal rate of 29%.</t>
  </si>
  <si>
    <t xml:space="preserve">      If Yes, please follow these instructions:</t>
  </si>
  <si>
    <t xml:space="preserve">     a.  This project includes a subaward or subawards.</t>
  </si>
  <si>
    <r>
      <t xml:space="preserve">     b.  At least one of the subaward </t>
    </r>
    <r>
      <rPr>
        <u/>
        <sz val="11"/>
        <rFont val="Arial"/>
        <family val="2"/>
      </rPr>
      <t>total cost</t>
    </r>
    <r>
      <rPr>
        <sz val="11"/>
        <rFont val="Arial"/>
        <family val="2"/>
      </rPr>
      <t xml:space="preserve"> budgets (direct costs and facilities and administrative costs) is </t>
    </r>
    <r>
      <rPr>
        <u/>
        <sz val="11"/>
        <rFont val="Arial"/>
        <family val="2"/>
      </rPr>
      <t>less than</t>
    </r>
    <r>
      <rPr>
        <sz val="11"/>
        <rFont val="Arial"/>
        <family val="2"/>
      </rPr>
      <t xml:space="preserve"> $25,000.</t>
    </r>
  </si>
  <si>
    <t xml:space="preserve">     If Yes, please follow these instructions:</t>
  </si>
  <si>
    <t xml:space="preserve">      - Enter up to $50,000 in the "supply" section of your budget.</t>
  </si>
  <si>
    <t>% of yr</t>
  </si>
  <si>
    <t xml:space="preserve">   - In the "Personnel" section of the budget, do enter the graduate student name, role on the project (e.g., Graduate Student Research Asst) and his/her % effort.</t>
  </si>
  <si>
    <r>
      <t xml:space="preserve">    - In the "Personnel" section of the budget, do </t>
    </r>
    <r>
      <rPr>
        <u/>
        <sz val="11"/>
        <color rgb="FFFF0000"/>
        <rFont val="Arial"/>
        <family val="2"/>
      </rPr>
      <t>not</t>
    </r>
    <r>
      <rPr>
        <sz val="11"/>
        <color rgb="FFFF0000"/>
        <rFont val="Arial"/>
        <family val="2"/>
      </rPr>
      <t xml:space="preserve"> enter a base salary or fringe amount for the Graduate Student.</t>
    </r>
  </si>
  <si>
    <t>Federal Graduate Student Section</t>
  </si>
  <si>
    <t xml:space="preserve">    Also, choosing yes will allow the form to add the compensation costs from the Federal Grad Student worksheet tab onto this budget.</t>
  </si>
  <si>
    <t>ISMMS - %</t>
  </si>
  <si>
    <t>VA - %</t>
  </si>
  <si>
    <t>-</t>
  </si>
  <si>
    <t xml:space="preserve"> In the "Personnel" section </t>
  </si>
  <si>
    <t>Federal grants - excluded from Amount of Base after 25K for life of project period</t>
  </si>
  <si>
    <t># of months</t>
  </si>
  <si>
    <t xml:space="preserve">  If No, enter the agency's allowed rate in the box provided, entering "0" if that is the appropriate answer.</t>
  </si>
  <si>
    <t>Standard Effort</t>
  </si>
  <si>
    <t>Prorated Effort</t>
  </si>
  <si>
    <t>Prorate % effort and $s</t>
  </si>
  <si>
    <t xml:space="preserve">     If Yes, please follow these instructions: </t>
  </si>
  <si>
    <t>Cost Share</t>
  </si>
  <si>
    <t>Cost Share? Y/N?</t>
  </si>
  <si>
    <t>Cost Share Policy</t>
  </si>
  <si>
    <t>Cost Share Form</t>
  </si>
  <si>
    <t>% of effort req on budget</t>
  </si>
  <si>
    <t>% of effort cost shared</t>
  </si>
  <si>
    <t xml:space="preserve">     Note:  If the "prorated effort" appears in the "personnel" section of the budget, use the "prorated effort" rather than the "standard effort" in your budget justification.</t>
  </si>
  <si>
    <t>% effort on budget</t>
  </si>
  <si>
    <t>% effort cost shared</t>
  </si>
  <si>
    <t>F&amp;A Subtotal</t>
  </si>
  <si>
    <t>ISMMS - $</t>
  </si>
  <si>
    <t>VA - $</t>
  </si>
  <si>
    <t>Column 1</t>
  </si>
  <si>
    <t>Column 2</t>
  </si>
  <si>
    <t>Grand Total</t>
  </si>
  <si>
    <t xml:space="preserve">Combined F&amp;A Rate Federal Sponsored Projects </t>
  </si>
  <si>
    <t>Difference between modular and non-mod amt</t>
  </si>
  <si>
    <t>Difference split between on and off campus</t>
  </si>
  <si>
    <t>non modular MTDC</t>
  </si>
  <si>
    <t xml:space="preserve">      - If this cost is more than $50,000, also enter the remaining portion in the subaward &gt; Genomic Arrays section of your budget.</t>
  </si>
  <si>
    <t>Cost</t>
  </si>
  <si>
    <t>Consultant</t>
  </si>
  <si>
    <t>Supply</t>
  </si>
  <si>
    <t>Other Direct</t>
  </si>
  <si>
    <t>Subs Cumulative Allowable  total</t>
  </si>
  <si>
    <t>Genomic Arrays Allowable total</t>
  </si>
  <si>
    <r>
      <t xml:space="preserve">of this budget, do </t>
    </r>
    <r>
      <rPr>
        <u/>
        <sz val="11"/>
        <color rgb="FFFF0000"/>
        <rFont val="Arial"/>
        <family val="2"/>
      </rPr>
      <t>not enter</t>
    </r>
  </si>
  <si>
    <t>Grad. Stud. base salaries.</t>
  </si>
  <si>
    <t>Genomic Arrays - if you have already entered $50,000 in the "Supplies" section, enter any additional costs in "Subs DC" in this row.</t>
  </si>
  <si>
    <t xml:space="preserve">      working on the project at both locations.  Enter 50% in the "Federal  Combined Rate Column" in "ISMMS %"  The F&amp;A on the remaining 50% VA time is then calculated automatically.</t>
  </si>
  <si>
    <r>
      <t xml:space="preserve">      Enter 0% in the "Federal Combined Rate Column" in "ISMMS %."  The F&amp;A on the remaining, which in this case is the </t>
    </r>
    <r>
      <rPr>
        <u/>
        <sz val="11"/>
        <rFont val="Arial"/>
        <family val="2"/>
      </rPr>
      <t>entire</t>
    </r>
    <r>
      <rPr>
        <sz val="11"/>
        <rFont val="Arial"/>
        <family val="2"/>
      </rPr>
      <t xml:space="preserve"> VA effort, will be calculated automatically.</t>
    </r>
  </si>
  <si>
    <t>modular amount - add $s to charge</t>
  </si>
  <si>
    <t>F&amp;A rate</t>
  </si>
  <si>
    <t>extra F&amp;A $s</t>
  </si>
  <si>
    <t>non modular F&amp;A $s</t>
  </si>
  <si>
    <t>total F&amp;A</t>
  </si>
  <si>
    <t>% on/off campus</t>
  </si>
  <si>
    <t>Modular MTDC</t>
  </si>
  <si>
    <t>Funds</t>
  </si>
  <si>
    <t>Requested</t>
  </si>
  <si>
    <t>MTDC</t>
  </si>
  <si>
    <t>F&amp;A Rate - %</t>
  </si>
  <si>
    <t xml:space="preserve">     Combined Rate Column" in the corresponding "Column 1." The F&amp;A on the remaining 75% for the VA lab is then calculated automatically.</t>
  </si>
  <si>
    <t>non modular DC (ISMMS DC + Subs DC + Subs F&amp;A)</t>
  </si>
  <si>
    <t>non modular DC (ISMMS DC + Subs DC)</t>
  </si>
  <si>
    <t>Non modular amount DC (ISMMS DC +  Subs DC)</t>
  </si>
  <si>
    <t>Modular amount (ISMMS DC + Subs DC rounded to 25k module)</t>
  </si>
  <si>
    <t>NIH K cap</t>
  </si>
  <si>
    <t>K awardee on your Federal budget? Y/N?</t>
  </si>
  <si>
    <r>
      <t xml:space="preserve">     - Enter the </t>
    </r>
    <r>
      <rPr>
        <u/>
        <sz val="11"/>
        <rFont val="Arial"/>
        <family val="2"/>
      </rPr>
      <t>actua</t>
    </r>
    <r>
      <rPr>
        <sz val="11"/>
        <rFont val="Arial"/>
        <family val="2"/>
      </rPr>
      <t xml:space="preserve">l base salary in the "Base Salary" column in the "Personnel" section. </t>
    </r>
  </si>
  <si>
    <t xml:space="preserve">     - If applicable, enter the mandated salary cap in the drop down menu of this box.</t>
  </si>
  <si>
    <t>F&amp;A Rates - Box 1</t>
  </si>
  <si>
    <r>
      <t xml:space="preserve">F&amp;A Rate 1 -- </t>
    </r>
    <r>
      <rPr>
        <u/>
        <sz val="11"/>
        <rFont val="Arial"/>
        <family val="2"/>
      </rPr>
      <t>ISMMS</t>
    </r>
    <r>
      <rPr>
        <sz val="11"/>
        <rFont val="Arial"/>
        <family val="2"/>
      </rPr>
      <t xml:space="preserve"> Amount of Base</t>
    </r>
  </si>
  <si>
    <r>
      <t xml:space="preserve">F&amp;A Rate 2 -- </t>
    </r>
    <r>
      <rPr>
        <u/>
        <sz val="11"/>
        <rFont val="Arial"/>
        <family val="2"/>
      </rPr>
      <t>BVA</t>
    </r>
    <r>
      <rPr>
        <sz val="11"/>
        <rFont val="Arial"/>
        <family val="2"/>
      </rPr>
      <t xml:space="preserve"> Amount of Base</t>
    </r>
  </si>
  <si>
    <t>F&amp;A Rate 1 -- ISMMS F&amp;A  subtotal</t>
  </si>
  <si>
    <t>F&amp;A Rate 2 -- BVA F&amp;A subtotal</t>
  </si>
  <si>
    <t>F&amp;A Rate 1</t>
  </si>
  <si>
    <t>F&amp;A Rate 2</t>
  </si>
  <si>
    <t>F&amp;A Rates - Box 2</t>
  </si>
  <si>
    <r>
      <t xml:space="preserve">       If Yes, please enter the $ amount in the designated section  entitled "Federal Non - Graduate Student Tuition / Fees." </t>
    </r>
    <r>
      <rPr>
        <sz val="11"/>
        <color rgb="FFFF0000"/>
        <rFont val="Arial"/>
        <family val="2"/>
      </rPr>
      <t xml:space="preserve">Do </t>
    </r>
    <r>
      <rPr>
        <u/>
        <sz val="11"/>
        <color rgb="FFFF0000"/>
        <rFont val="Arial"/>
        <family val="2"/>
      </rPr>
      <t>not</t>
    </r>
    <r>
      <rPr>
        <sz val="11"/>
        <color rgb="FFFF0000"/>
        <rFont val="Arial"/>
        <family val="2"/>
      </rPr>
      <t xml:space="preserve"> enter the cost anywhere else on the budget.</t>
    </r>
  </si>
  <si>
    <t xml:space="preserve">      If Yes, in addition, please follow these instructions:</t>
  </si>
  <si>
    <r>
      <t xml:space="preserve">    - </t>
    </r>
    <r>
      <rPr>
        <u/>
        <sz val="11"/>
        <rFont val="Arial"/>
        <family val="2"/>
      </rPr>
      <t>Enter</t>
    </r>
    <r>
      <rPr>
        <sz val="11"/>
        <rFont val="Arial"/>
        <family val="2"/>
      </rPr>
      <t xml:space="preserve"> the % of each cost that will be incurred at the 1st F&amp;A Rate (i.e., on the </t>
    </r>
    <r>
      <rPr>
        <u/>
        <sz val="11"/>
        <rFont val="Arial"/>
        <family val="2"/>
      </rPr>
      <t>ISMMS campus onl</t>
    </r>
    <r>
      <rPr>
        <sz val="11"/>
        <rFont val="Arial"/>
        <family val="2"/>
      </rPr>
      <t xml:space="preserve">y) in the "Federal Combined Rate Section" in "Column 1" or "Column 2" as indicated in your </t>
    </r>
  </si>
  <si>
    <t xml:space="preserve">     budget.    &gt;                                                                                                                &gt;</t>
  </si>
  <si>
    <t xml:space="preserve">      The form calculates F&amp;A on the 2nd F&amp;A Rate (i.e., VA costs) automatically once you enter in the percentage of the 1st F&amp;A rate.</t>
  </si>
  <si>
    <t xml:space="preserve">        If Yes, can you choose the F&amp;A rate from the drop down menu of the "F&amp;A Rate" boxes in the "Combined F&amp;A Rate" section of the budget?</t>
  </si>
  <si>
    <t>COMBINED F&amp;A RATES WHEN THE SOURCE OF THE FUNDING IS FEDERAL</t>
  </si>
  <si>
    <r>
      <t xml:space="preserve">     Examples: Research Nurse working approx. 3.75 hours per week (10% effort) beg. in Month 9 of 12; NIH K awardee on a NIH R01 whose salary you'll need to prorate </t>
    </r>
    <r>
      <rPr>
        <sz val="11"/>
        <rFont val="Arial"/>
        <family val="2"/>
      </rPr>
      <t>when the K award ends.</t>
    </r>
  </si>
  <si>
    <t xml:space="preserve">      Example # 2: There is a co-investigator who works at the VA.  She is paid 100% by ISMMS.  She is dedicating 25% effort to the project.   </t>
  </si>
  <si>
    <t xml:space="preserve">      Example # 3: You have a $10,000 supply cost in column 1 in your budget.  25% of that will be used in a lab at ISMMS and 75% will be used in a lab at the VA.  Enter 25% in the "Federal</t>
  </si>
  <si>
    <t xml:space="preserve">      Example # 4: You have a $2,000 supply cost in column 2 in your budget.  100% of that will be used in a lab at the VA.  Enter 0% in the "Federal Combined Rate Column" in "ISMMS %"  in the</t>
  </si>
  <si>
    <t xml:space="preserve">      corresponding Column 2.  The F&amp;A on the remaining 100%, which in this case is the entire cost of the supply, will be calculated automatically.</t>
  </si>
  <si>
    <r>
      <t xml:space="preserve">Federal </t>
    </r>
    <r>
      <rPr>
        <u/>
        <sz val="11"/>
        <rFont val="Arial"/>
        <family val="2"/>
      </rPr>
      <t>Non - Graduate Studen</t>
    </r>
    <r>
      <rPr>
        <sz val="11"/>
        <rFont val="Arial"/>
        <family val="2"/>
      </rPr>
      <t>t Tuition / Fees (e.g., K award tuition/fees)</t>
    </r>
  </si>
  <si>
    <t>ISMMS DC + Subs DC</t>
  </si>
  <si>
    <t>Will research be conducted at both the Mount Sinai and James J Peters VA Medical Center campuses for this project?</t>
  </si>
  <si>
    <r>
      <t xml:space="preserve">       - </t>
    </r>
    <r>
      <rPr>
        <u/>
        <sz val="11"/>
        <rFont val="Arial"/>
        <family val="2"/>
      </rPr>
      <t>Enter</t>
    </r>
    <r>
      <rPr>
        <sz val="11"/>
        <rFont val="Arial"/>
        <family val="2"/>
      </rPr>
      <t xml:space="preserve"> the % of each cost that will be incurred at the 1st F&amp;A Rate (i.e., on the </t>
    </r>
    <r>
      <rPr>
        <u/>
        <sz val="11"/>
        <rFont val="Arial"/>
        <family val="2"/>
      </rPr>
      <t>ISMMS campus onl</t>
    </r>
    <r>
      <rPr>
        <sz val="11"/>
        <rFont val="Arial"/>
        <family val="2"/>
      </rPr>
      <t xml:space="preserve">y) in the "Federal Combined Rate Section" in "Column 1" or "Column 2" as indicated in your </t>
    </r>
  </si>
  <si>
    <t>Additional Personnel subtotal</t>
  </si>
  <si>
    <t>Additional Consultants subtotal</t>
  </si>
  <si>
    <t>Additional Subs subtotal</t>
  </si>
  <si>
    <t xml:space="preserve">      Example # 1: The PI has a dual ISMMS and BVA appointment.  He has clinical research space at ISMMS and a lab at the VA.  He will work 30% on the project.  He will split his time equally</t>
  </si>
  <si>
    <t>1st Time Subs: TC Less than $25,000</t>
  </si>
  <si>
    <t>Y1 TC</t>
  </si>
  <si>
    <t>Y2 TC</t>
  </si>
  <si>
    <t>Subaward Name</t>
  </si>
  <si>
    <t>Table</t>
  </si>
  <si>
    <t xml:space="preserve">   If Yes, you must use the "Federal Grad Student" worksheet tab to calculate the compensation package and follow these instructions:</t>
  </si>
  <si>
    <t>my name is "a"</t>
  </si>
  <si>
    <t>my name is "b"</t>
  </si>
  <si>
    <t>Year 1 Grand Total: Graduate Student Compensation</t>
  </si>
  <si>
    <t>Y1 Worksheet Calcs:  Do not delete rows in this section</t>
  </si>
  <si>
    <t>Y2 Worksheet Calcs:  Do not delete rows in this section</t>
  </si>
  <si>
    <t>1.    % Effort</t>
  </si>
  <si>
    <t>4.    % Effort</t>
  </si>
  <si>
    <t>Available funds for tuition/fees:</t>
  </si>
  <si>
    <t xml:space="preserve"> Graduate Student #1  Total Compensation</t>
  </si>
  <si>
    <t>Tuition/Fees</t>
  </si>
  <si>
    <t>2. Apply these available funds for tuition/fees to your budget?</t>
  </si>
  <si>
    <t>3. If the answer to q.2 is No, please enter  the lower tuition/fees amt.</t>
  </si>
  <si>
    <t>5. Apply these available funds for tuition/fees to your budget?</t>
  </si>
  <si>
    <t xml:space="preserve"> Graduate Student #2  Total Compensation</t>
  </si>
  <si>
    <r>
      <t xml:space="preserve">Graduate Student Compensation -  </t>
    </r>
    <r>
      <rPr>
        <b/>
        <i/>
        <u/>
        <sz val="12"/>
        <color theme="2" tint="-0.749992370372631"/>
        <rFont val="Calibri"/>
        <family val="2"/>
        <scheme val="minor"/>
      </rPr>
      <t>Fixed Amounts</t>
    </r>
  </si>
  <si>
    <t>You can either request this amount or a lower amount based on the  Graduate School fees listed at the bottom of</t>
  </si>
  <si>
    <t xml:space="preserve">this form.  You may only choose $0 in exceptional circumstances.  </t>
  </si>
  <si>
    <t>Year 2 Grand Total: Graduate Student Compensation</t>
  </si>
  <si>
    <t>Year 3</t>
  </si>
  <si>
    <t>Year 3 Grand Total: Graduate Student Compensation</t>
  </si>
  <si>
    <t>Y3 Worksheet Calcs:  Do not delete rows in this section</t>
  </si>
  <si>
    <t>Year 4</t>
  </si>
  <si>
    <t>Year 4 Grand Total: Graduate Student Compensation</t>
  </si>
  <si>
    <t>Y4 Worksheet Calcs:  Do not delete rows in this section</t>
  </si>
  <si>
    <t>Year 5</t>
  </si>
  <si>
    <t>Year 5 Grand Total: Graduate Student Compensation</t>
  </si>
  <si>
    <t>Y5 Worksheet Calcs:  Do not delete rows in this section</t>
  </si>
  <si>
    <t>6.  If the answer to q.5 is No, please enter  the lower tuition/fees amt.</t>
  </si>
  <si>
    <t>Additional Supplies subtotal</t>
  </si>
  <si>
    <t>Additional Travel subtotal</t>
  </si>
  <si>
    <t>Additional Patient Care Costs subtotal</t>
  </si>
  <si>
    <t>Additional Direct Costs subtotal</t>
  </si>
  <si>
    <t xml:space="preserve">     </t>
  </si>
  <si>
    <t>Y3 TC</t>
  </si>
  <si>
    <t>1st Time Subs: TC Greater than or Equal to $25,000</t>
  </si>
  <si>
    <t>Subs: TC Greater than or Equal to $25,000</t>
  </si>
  <si>
    <t>Funding Source</t>
  </si>
  <si>
    <t>Prorating</t>
  </si>
  <si>
    <t>Project Period</t>
  </si>
  <si>
    <t>Modular</t>
  </si>
  <si>
    <t>K Award</t>
  </si>
  <si>
    <t>Grad Students</t>
  </si>
  <si>
    <t>Non-Grad Student Tuit/Fees</t>
  </si>
  <si>
    <t>Combined F&amp;A Rates</t>
  </si>
  <si>
    <t>Same Annual Budget?</t>
  </si>
  <si>
    <t>Y1 and Y2</t>
  </si>
  <si>
    <r>
      <t xml:space="preserve">   b.  I have already included that subaward or subawards on a previous year's budget.  This is a </t>
    </r>
    <r>
      <rPr>
        <u/>
        <sz val="11"/>
        <rFont val="Arial"/>
        <family val="2"/>
      </rPr>
      <t>continuation.</t>
    </r>
  </si>
  <si>
    <t>Y1 -Y3</t>
  </si>
  <si>
    <t>Y4 TC</t>
  </si>
  <si>
    <t xml:space="preserve">      - If the answer is Yes, in addition to entering the subaward(s) DC and F&amp;A costs in your Y5 budget, enter the TC amounts for all five years for each subaward in the table provided. </t>
  </si>
  <si>
    <t>Y1 -Y4</t>
  </si>
  <si>
    <t>Y5 TC</t>
  </si>
  <si>
    <r>
      <t xml:space="preserve">Is this a NIH </t>
    </r>
    <r>
      <rPr>
        <u/>
        <sz val="11"/>
        <rFont val="Arial"/>
        <family val="2"/>
      </rPr>
      <t>modular</t>
    </r>
    <r>
      <rPr>
        <sz val="11"/>
        <rFont val="Arial"/>
        <family val="2"/>
      </rPr>
      <t xml:space="preserve"> budget?</t>
    </r>
  </si>
  <si>
    <t>Qs - Specific Per Year</t>
  </si>
  <si>
    <t>Modular Grant</t>
  </si>
  <si>
    <t>to be developed:</t>
  </si>
  <si>
    <t>Subawards (Subs) - DC*</t>
  </si>
  <si>
    <t>Y1 Qs - General/Applicable for all years</t>
  </si>
  <si>
    <t>Equipment / Alterations &amp; Renovations</t>
  </si>
  <si>
    <r>
      <t>Subs TC</t>
    </r>
    <r>
      <rPr>
        <sz val="10"/>
        <rFont val="Arial"/>
        <family val="2"/>
      </rPr>
      <t xml:space="preserve"> </t>
    </r>
  </si>
  <si>
    <t xml:space="preserve">       budget.  &gt;                                                                                                                &gt;</t>
  </si>
  <si>
    <t>enter budget period here on Y2 tab</t>
  </si>
  <si>
    <t>enter budget period here on Y3 tab</t>
  </si>
  <si>
    <t>enter budget period here on Y4 tab</t>
  </si>
  <si>
    <t>enter budget period here on Y5 tab</t>
  </si>
  <si>
    <t>enter PI name in this cell on Y1 tab</t>
  </si>
  <si>
    <t>enter funding agency name in this cell on Y1 tab</t>
  </si>
  <si>
    <t>enter project title in this cell on Y1 tab</t>
  </si>
  <si>
    <t>enter GCO # in this cell on Y1 tab</t>
  </si>
  <si>
    <t>enter fund # in this cell on Y1 tab</t>
  </si>
  <si>
    <t>enter agency # in this cell on Y1 tab</t>
  </si>
  <si>
    <t>Subs 25K or greater</t>
  </si>
  <si>
    <t>Does your project meet the following criteria?</t>
  </si>
  <si>
    <t>Total MTDC</t>
  </si>
  <si>
    <t>SAME BUDGET or SAME BUDGET LESS EQUIPMENT SCENARIOS, Continuation Subs: TC Less than $25,000</t>
  </si>
  <si>
    <t>Sum</t>
  </si>
  <si>
    <t>Difference</t>
  </si>
  <si>
    <t>Y1 -Y2 TC</t>
  </si>
  <si>
    <t>Y1-3 TC</t>
  </si>
  <si>
    <t>Y1 -Y4 TC</t>
  </si>
  <si>
    <t>Y1 -5 TC</t>
  </si>
  <si>
    <t xml:space="preserve">F&amp;A Rate** </t>
  </si>
  <si>
    <t>** If you've selected two rates, the rate in this row is the combined rate.</t>
  </si>
  <si>
    <t>Graduate Student Compensation Worksheet forFederal Sponsored Projects</t>
  </si>
  <si>
    <t xml:space="preserve">      - This is a NIH modular budget and you are requesting different modules each year. Example: R21 grant requesting 150,000 in Y1 and 125,000 in Y2 in direct costs.</t>
  </si>
  <si>
    <t xml:space="preserve">      You must answer No if your project meets the following criteria:</t>
  </si>
  <si>
    <t xml:space="preserve">     If No, enter the agency's allowed rate in the box provided, entering "0" if that is the appropriate answer.</t>
  </si>
  <si>
    <t xml:space="preserve">     If the answer is Yes, in addition to entering these costs in your budget, enter the same amounts in the boxes provided.</t>
  </si>
  <si>
    <t xml:space="preserve">       If Yes, please choose a module from the drop down menu in the "NIH Modular Amount" box. Also choosing Yes will allow the form to calculate F&amp;A on the modular amount.</t>
  </si>
  <si>
    <t xml:space="preserve">       If No, please note that the form will calculate F&amp;A on the non-modular amount</t>
  </si>
  <si>
    <t xml:space="preserve">       If Yes, please follow these instructions:</t>
  </si>
  <si>
    <r>
      <t xml:space="preserve">       - Enter the </t>
    </r>
    <r>
      <rPr>
        <u/>
        <sz val="11"/>
        <rFont val="Arial"/>
        <family val="2"/>
      </rPr>
      <t>actua</t>
    </r>
    <r>
      <rPr>
        <sz val="11"/>
        <rFont val="Arial"/>
        <family val="2"/>
      </rPr>
      <t xml:space="preserve">l base salary in the "Base Salary" column in the "Personnel" section. </t>
    </r>
  </si>
  <si>
    <t xml:space="preserve">       - If applicable, enter the mandated salary cap in the drop down menu of this box.</t>
  </si>
  <si>
    <t xml:space="preserve">       - Enter up to $50,000 in the "supply" section of your budget.</t>
  </si>
  <si>
    <t xml:space="preserve">       - If this cost is more than $50,000, also enter the remaining portion in the subaward &gt; Genomic Arrays section of your budget.</t>
  </si>
  <si>
    <t xml:space="preserve">        a.  This project includes a subaward or subawards.</t>
  </si>
  <si>
    <r>
      <t xml:space="preserve">        b.  At least one of the subaward </t>
    </r>
    <r>
      <rPr>
        <u/>
        <sz val="11"/>
        <rFont val="Arial"/>
        <family val="2"/>
      </rPr>
      <t>total cost</t>
    </r>
    <r>
      <rPr>
        <sz val="11"/>
        <rFont val="Arial"/>
        <family val="2"/>
      </rPr>
      <t xml:space="preserve"> budgets (direct costs and facilities and administrative costs) is </t>
    </r>
    <r>
      <rPr>
        <u/>
        <sz val="11"/>
        <rFont val="Arial"/>
        <family val="2"/>
      </rPr>
      <t>equal to or greater</t>
    </r>
    <r>
      <rPr>
        <sz val="11"/>
        <rFont val="Arial"/>
        <family val="2"/>
      </rPr>
      <t xml:space="preserve"> than $25,000.</t>
    </r>
  </si>
  <si>
    <t xml:space="preserve">       a.  This project includes a subaward or subawards.</t>
  </si>
  <si>
    <r>
      <t xml:space="preserve">       b.  At least one of the subaward </t>
    </r>
    <r>
      <rPr>
        <u/>
        <sz val="11"/>
        <rFont val="Arial"/>
        <family val="2"/>
      </rPr>
      <t>total cost</t>
    </r>
    <r>
      <rPr>
        <sz val="11"/>
        <rFont val="Arial"/>
        <family val="2"/>
      </rPr>
      <t xml:space="preserve"> budgets (direct costs and facilities and administrative costs) is </t>
    </r>
    <r>
      <rPr>
        <u/>
        <sz val="11"/>
        <rFont val="Arial"/>
        <family val="2"/>
      </rPr>
      <t>less than</t>
    </r>
    <r>
      <rPr>
        <sz val="11"/>
        <rFont val="Arial"/>
        <family val="2"/>
      </rPr>
      <t xml:space="preserve"> $25,000.</t>
    </r>
  </si>
  <si>
    <t xml:space="preserve">       - In addition to entering the subaward(s) DC and F&amp;A costs in your budget, enter the TC amount for each subaward in the boxes provided.</t>
  </si>
  <si>
    <t xml:space="preserve">       - If the subaward budget(s) continues in the following year(s), see the instructions on those budget tabs (Y2, Y3, Y4, and Y5).</t>
  </si>
  <si>
    <t xml:space="preserve">    - In the "Personnel" section of the budget, do enter the graduate student name, role on the project (e.g., Graduate Student Research Asst) and his/her % effort.</t>
  </si>
  <si>
    <r>
      <t xml:space="preserve">     - In the "Personnel" section of the budget, do </t>
    </r>
    <r>
      <rPr>
        <u/>
        <sz val="11"/>
        <color rgb="FFFF0000"/>
        <rFont val="Arial"/>
        <family val="2"/>
      </rPr>
      <t>not</t>
    </r>
    <r>
      <rPr>
        <sz val="11"/>
        <color rgb="FFFF0000"/>
        <rFont val="Arial"/>
        <family val="2"/>
      </rPr>
      <t xml:space="preserve"> enter a base salary or fringe amount for the Graduate Student.</t>
    </r>
  </si>
  <si>
    <t xml:space="preserve">      Also, choosing yes will allow the form to add the compensation costs from the Federal Grad Student worksheet tab onto this budget.</t>
  </si>
  <si>
    <t xml:space="preserve">      If Yes, you must use the "Federal Grad Student" worksheet tab to calculate the compensation package and follow these instructions:</t>
  </si>
  <si>
    <r>
      <t xml:space="preserve">     b.  This is the </t>
    </r>
    <r>
      <rPr>
        <u/>
        <sz val="11"/>
        <rFont val="Arial"/>
        <family val="2"/>
      </rPr>
      <t>first</t>
    </r>
    <r>
      <rPr>
        <sz val="11"/>
        <rFont val="Arial"/>
        <family val="2"/>
      </rPr>
      <t xml:space="preserve"> time in this project period I am including at least one subaward on a budget. </t>
    </r>
  </si>
  <si>
    <r>
      <t xml:space="preserve">     c.  At least one of the subaward </t>
    </r>
    <r>
      <rPr>
        <u/>
        <sz val="11"/>
        <rFont val="Arial"/>
        <family val="2"/>
      </rPr>
      <t>total cost</t>
    </r>
    <r>
      <rPr>
        <sz val="11"/>
        <rFont val="Arial"/>
        <family val="2"/>
      </rPr>
      <t xml:space="preserve"> budgets (direct costs and facilities and administrative costs) is </t>
    </r>
    <r>
      <rPr>
        <u/>
        <sz val="11"/>
        <rFont val="Arial"/>
        <family val="2"/>
      </rPr>
      <t>equal to or greater</t>
    </r>
    <r>
      <rPr>
        <sz val="11"/>
        <rFont val="Arial"/>
        <family val="2"/>
      </rPr>
      <t xml:space="preserve"> than $25,000.</t>
    </r>
  </si>
  <si>
    <r>
      <t xml:space="preserve">       b.  This is the </t>
    </r>
    <r>
      <rPr>
        <u/>
        <sz val="11"/>
        <rFont val="Arial"/>
        <family val="2"/>
      </rPr>
      <t>first</t>
    </r>
    <r>
      <rPr>
        <sz val="11"/>
        <rFont val="Arial"/>
        <family val="2"/>
      </rPr>
      <t xml:space="preserve"> time in this project period I am including at least one subaward on a budget. </t>
    </r>
  </si>
  <si>
    <r>
      <t xml:space="preserve">       c.  At least one of the subaward </t>
    </r>
    <r>
      <rPr>
        <u/>
        <sz val="11"/>
        <rFont val="Arial"/>
        <family val="2"/>
      </rPr>
      <t>total cost</t>
    </r>
    <r>
      <rPr>
        <sz val="11"/>
        <rFont val="Arial"/>
        <family val="2"/>
      </rPr>
      <t xml:space="preserve"> budgets (direct costs and facilities and administrative costs) is </t>
    </r>
    <r>
      <rPr>
        <u/>
        <sz val="11"/>
        <rFont val="Arial"/>
        <family val="2"/>
      </rPr>
      <t>less than</t>
    </r>
    <r>
      <rPr>
        <sz val="11"/>
        <rFont val="Arial"/>
        <family val="2"/>
      </rPr>
      <t xml:space="preserve"> $25,000.</t>
    </r>
  </si>
  <si>
    <t xml:space="preserve">       If the subaward budget(s) continues in the following year(s), see the instructions on those budget tabs (Y3, Y4, and Y5).</t>
  </si>
  <si>
    <r>
      <t xml:space="preserve">       b.  I have already included that subaward or subawards on the Y1 budget.  This is a </t>
    </r>
    <r>
      <rPr>
        <u/>
        <sz val="11"/>
        <rFont val="Arial"/>
        <family val="2"/>
      </rPr>
      <t>continuation.</t>
    </r>
  </si>
  <si>
    <r>
      <t xml:space="preserve">       c.  At least one of the subaward </t>
    </r>
    <r>
      <rPr>
        <u/>
        <sz val="11"/>
        <rFont val="Arial"/>
        <family val="2"/>
      </rPr>
      <t>total cost</t>
    </r>
    <r>
      <rPr>
        <sz val="11"/>
        <rFont val="Arial"/>
        <family val="2"/>
      </rPr>
      <t xml:space="preserve"> budgets (direct costs and facilities and administrative costs) in </t>
    </r>
    <r>
      <rPr>
        <u/>
        <sz val="11"/>
        <rFont val="Arial"/>
        <family val="2"/>
      </rPr>
      <t>Y1 was less than</t>
    </r>
    <r>
      <rPr>
        <sz val="11"/>
        <rFont val="Arial"/>
        <family val="2"/>
      </rPr>
      <t xml:space="preserve"> $25,000.</t>
    </r>
  </si>
  <si>
    <r>
      <t xml:space="preserve">       - If the answer is Yes, in addition to entering the subaward(s) DC and F&amp;A costs in your Y2 budget, enter the TC amounts for </t>
    </r>
    <r>
      <rPr>
        <u/>
        <sz val="11"/>
        <rFont val="Arial"/>
        <family val="2"/>
      </rPr>
      <t>both</t>
    </r>
    <r>
      <rPr>
        <sz val="11"/>
        <rFont val="Arial"/>
        <family val="2"/>
      </rPr>
      <t xml:space="preserve"> years in the table below.</t>
    </r>
  </si>
  <si>
    <t xml:space="preserve">     - In the "Personnel" section of the budget, do enter the graduate student name, role on the project (e.g., Graduate Student Research Asst) and his/her % effort.</t>
  </si>
  <si>
    <r>
      <t xml:space="preserve">      - In the "Personnel" section of the budget, do </t>
    </r>
    <r>
      <rPr>
        <u/>
        <sz val="11"/>
        <color rgb="FFFF0000"/>
        <rFont val="Arial"/>
        <family val="2"/>
      </rPr>
      <t>not</t>
    </r>
    <r>
      <rPr>
        <sz val="11"/>
        <color rgb="FFFF0000"/>
        <rFont val="Arial"/>
        <family val="2"/>
      </rPr>
      <t xml:space="preserve"> enter a base salary or fringe amount for the Graduate Student.</t>
    </r>
  </si>
  <si>
    <r>
      <t xml:space="preserve">      - </t>
    </r>
    <r>
      <rPr>
        <u/>
        <sz val="11"/>
        <rFont val="Arial"/>
        <family val="2"/>
      </rPr>
      <t>Enter</t>
    </r>
    <r>
      <rPr>
        <sz val="11"/>
        <rFont val="Arial"/>
        <family val="2"/>
      </rPr>
      <t xml:space="preserve"> the % of each cost that will be incurred at the 1st F&amp;A Rate (i.e., on the </t>
    </r>
    <r>
      <rPr>
        <u/>
        <sz val="11"/>
        <rFont val="Arial"/>
        <family val="2"/>
      </rPr>
      <t>ISMMS campus onl</t>
    </r>
    <r>
      <rPr>
        <sz val="11"/>
        <rFont val="Arial"/>
        <family val="2"/>
      </rPr>
      <t xml:space="preserve">y) in the "Federal Combined Rate Section" in "Column 1" or "Column 2" as indicated in your </t>
    </r>
  </si>
  <si>
    <t xml:space="preserve">        budget.    &gt;                                                                                                                &gt;</t>
  </si>
  <si>
    <t xml:space="preserve">      Combined Rate Column" in the corresponding "Column 1." The F&amp;A on the remaining 75% for the VA lab is then calculated automatically.</t>
  </si>
  <si>
    <t xml:space="preserve">      If No, enter the agency's allowed rate in the box provided, entering "0" if that is the appropriate answer.</t>
  </si>
  <si>
    <r>
      <t xml:space="preserve">       b.  I have already included that subaward or subawards on a previous year's budget.  This is a </t>
    </r>
    <r>
      <rPr>
        <u/>
        <sz val="11"/>
        <rFont val="Arial"/>
        <family val="2"/>
      </rPr>
      <t>continuation.</t>
    </r>
  </si>
  <si>
    <r>
      <t xml:space="preserve">       c.  At least one of the subaward </t>
    </r>
    <r>
      <rPr>
        <u/>
        <sz val="11"/>
        <rFont val="Arial"/>
        <family val="2"/>
      </rPr>
      <t>total cost</t>
    </r>
    <r>
      <rPr>
        <sz val="11"/>
        <rFont val="Arial"/>
        <family val="2"/>
      </rPr>
      <t xml:space="preserve"> budgets (direct costs and facilities and administrative costs) in a </t>
    </r>
    <r>
      <rPr>
        <u/>
        <sz val="11"/>
        <rFont val="Arial"/>
        <family val="2"/>
      </rPr>
      <t>previous yea</t>
    </r>
    <r>
      <rPr>
        <sz val="11"/>
        <rFont val="Arial"/>
        <family val="2"/>
      </rPr>
      <t xml:space="preserve">r is </t>
    </r>
    <r>
      <rPr>
        <u/>
        <sz val="11"/>
        <rFont val="Arial"/>
        <family val="2"/>
      </rPr>
      <t>less than</t>
    </r>
    <r>
      <rPr>
        <sz val="11"/>
        <rFont val="Arial"/>
        <family val="2"/>
      </rPr>
      <t xml:space="preserve"> $25,000.</t>
    </r>
  </si>
  <si>
    <r>
      <t xml:space="preserve">       - If the answer is Yes, in addition to entering the subaward(s) DC and F&amp;A costs in your Y3 budget, enter the TC amounts for all </t>
    </r>
    <r>
      <rPr>
        <u/>
        <sz val="11"/>
        <rFont val="Arial"/>
        <family val="2"/>
      </rPr>
      <t>three</t>
    </r>
    <r>
      <rPr>
        <sz val="11"/>
        <rFont val="Arial"/>
        <family val="2"/>
      </rPr>
      <t xml:space="preserve"> years for each subaward in the table provided. </t>
    </r>
  </si>
  <si>
    <t xml:space="preserve">      - In the "Personnel" section of the budget, do enter the graduate student name, role on the project (e.g., Graduate Student Research Asst) and his/her % effort.</t>
  </si>
  <si>
    <r>
      <t xml:space="preserve">       - In the "Personnel" section of the budget, do </t>
    </r>
    <r>
      <rPr>
        <u/>
        <sz val="11"/>
        <color rgb="FFFF0000"/>
        <rFont val="Arial"/>
        <family val="2"/>
      </rPr>
      <t>not</t>
    </r>
    <r>
      <rPr>
        <sz val="11"/>
        <color rgb="FFFF0000"/>
        <rFont val="Arial"/>
        <family val="2"/>
      </rPr>
      <t xml:space="preserve"> enter a base salary or fringe amount for the Graduate Student.</t>
    </r>
  </si>
  <si>
    <t xml:space="preserve">      budget.    &gt;                                                                                                                &gt;</t>
  </si>
  <si>
    <r>
      <t xml:space="preserve">        b.  I have already included that subaward or subawards on a previous year's budget.  This is a </t>
    </r>
    <r>
      <rPr>
        <u/>
        <sz val="11"/>
        <rFont val="Arial"/>
        <family val="2"/>
      </rPr>
      <t>continuation.</t>
    </r>
  </si>
  <si>
    <r>
      <t xml:space="preserve">        c.  At least one of the subaward </t>
    </r>
    <r>
      <rPr>
        <u/>
        <sz val="11"/>
        <rFont val="Arial"/>
        <family val="2"/>
      </rPr>
      <t>total cost</t>
    </r>
    <r>
      <rPr>
        <sz val="11"/>
        <rFont val="Arial"/>
        <family val="2"/>
      </rPr>
      <t xml:space="preserve"> budgets (direct costs and facilities and administrative costs) is </t>
    </r>
    <r>
      <rPr>
        <u/>
        <sz val="11"/>
        <rFont val="Arial"/>
        <family val="2"/>
      </rPr>
      <t>less than</t>
    </r>
    <r>
      <rPr>
        <sz val="11"/>
        <rFont val="Arial"/>
        <family val="2"/>
      </rPr>
      <t xml:space="preserve"> $25,000.</t>
    </r>
  </si>
  <si>
    <t xml:space="preserve">        - If the answer is Yes, in addition to entering the subaward(s) DC and F&amp;A costs in your Y4 budget, enter the TC amounts for all four years for each subaward in the table provided. </t>
  </si>
  <si>
    <t xml:space="preserve">       - In the "Personnel" section of the budget, do enter the graduate student name, role on the project (e.g., Graduate Student Research Asst) and his/her % effort.</t>
  </si>
  <si>
    <r>
      <t xml:space="preserve">        - In the "Personnel" section of the budget, do </t>
    </r>
    <r>
      <rPr>
        <u/>
        <sz val="11"/>
        <color rgb="FFFF0000"/>
        <rFont val="Arial"/>
        <family val="2"/>
      </rPr>
      <t>not</t>
    </r>
    <r>
      <rPr>
        <sz val="11"/>
        <color rgb="FFFF0000"/>
        <rFont val="Arial"/>
        <family val="2"/>
      </rPr>
      <t xml:space="preserve"> enter a base salary or fringe amount for the Graduate Student.</t>
    </r>
  </si>
  <si>
    <t xml:space="preserve">      If the F&amp;A Rate is not in the drop down menu, please add the rate in the space provided. Then choose that rate from the "F&amp;A Rate" box in your budget.</t>
  </si>
  <si>
    <t xml:space="preserve">     - If the answer is Yes, in addition to entering the subaward(s) DC and F&amp;A costs in your budget, enter the TC amount for each subaward in the boxes provided.</t>
  </si>
  <si>
    <t xml:space="preserve">    If the subaward budget(s) continues in the following year(s), see the instructions on those budget tabs (Y5).</t>
  </si>
  <si>
    <t xml:space="preserve">      - If the answer is Yes, in addition to entering the subaward(s) DC and F&amp;A costs in your budget, enter the TC amount for each subaward in the boxes provided.</t>
  </si>
  <si>
    <t xml:space="preserve">      If the subaward budget(s) continues in the following year(s), see the instructions on those budget tabs (Y4, and Y5).</t>
  </si>
  <si>
    <t xml:space="preserve">       - If the answer is Yes, in addition to entering the subaward(s) DC and F&amp;A costs in your budget, enter the TC amount for each subaward in the boxes provided.</t>
  </si>
  <si>
    <t>2.  How many years will your project run?</t>
  </si>
  <si>
    <t>3.   If your project will run more than one year, will the budget be the same each year?</t>
  </si>
  <si>
    <t>Yes, except for equipment in Year 1.</t>
  </si>
  <si>
    <r>
      <t>Questions 1- 3:  Applicable to</t>
    </r>
    <r>
      <rPr>
        <b/>
        <u/>
        <sz val="14"/>
        <rFont val="Calibri"/>
        <family val="2"/>
        <scheme val="minor"/>
      </rPr>
      <t xml:space="preserve"> NIH</t>
    </r>
    <r>
      <rPr>
        <b/>
        <sz val="14"/>
        <rFont val="Calibri"/>
        <family val="2"/>
        <scheme val="minor"/>
      </rPr>
      <t xml:space="preserve"> Only</t>
    </r>
  </si>
  <si>
    <r>
      <t xml:space="preserve">1.  Is this a NIH </t>
    </r>
    <r>
      <rPr>
        <u/>
        <sz val="11"/>
        <rFont val="Arial"/>
        <family val="2"/>
      </rPr>
      <t>modular</t>
    </r>
    <r>
      <rPr>
        <sz val="11"/>
        <rFont val="Arial"/>
        <family val="2"/>
      </rPr>
      <t xml:space="preserve"> budget?</t>
    </r>
  </si>
  <si>
    <r>
      <t xml:space="preserve">2.  Is this a NIH </t>
    </r>
    <r>
      <rPr>
        <u/>
        <sz val="11"/>
        <rFont val="Arial"/>
        <family val="2"/>
      </rPr>
      <t>K</t>
    </r>
    <r>
      <rPr>
        <sz val="11"/>
        <rFont val="Arial"/>
        <family val="2"/>
      </rPr>
      <t xml:space="preserve"> award with a </t>
    </r>
    <r>
      <rPr>
        <u/>
        <sz val="11"/>
        <rFont val="Arial"/>
        <family val="2"/>
      </rPr>
      <t>mandated</t>
    </r>
    <r>
      <rPr>
        <sz val="11"/>
        <rFont val="Arial"/>
        <family val="2"/>
      </rPr>
      <t xml:space="preserve"> PI salary cap (e.g., 75,000, 90,000)?</t>
    </r>
  </si>
  <si>
    <t>3.  Are there Genomic Array costs on your NIH budget?</t>
  </si>
  <si>
    <t>4.  Does your project meet the following criteria?</t>
  </si>
  <si>
    <t>6.  Does your project meet the following criteria?</t>
  </si>
  <si>
    <t>7. Are there any participating graduate students at Mount Sinai on your project?</t>
  </si>
  <si>
    <t>8.  Are there Non-Grad Student tuition &amp; fees (e.g., tuition for PI of K award) on the budget?</t>
  </si>
  <si>
    <t>9.  Will research be conducted at both the Mount Sinai and James J Peters VA Medical Center campuses for this project?</t>
  </si>
  <si>
    <r>
      <t xml:space="preserve">Questions 12- 14:  Applicable to </t>
    </r>
    <r>
      <rPr>
        <b/>
        <u/>
        <sz val="14"/>
        <rFont val="Calibri"/>
        <family val="2"/>
        <scheme val="minor"/>
      </rPr>
      <t>All</t>
    </r>
    <r>
      <rPr>
        <b/>
        <sz val="14"/>
        <rFont val="Calibri"/>
        <family val="2"/>
        <scheme val="minor"/>
      </rPr>
      <t xml:space="preserve"> Extramural Funding Agencies</t>
    </r>
  </si>
  <si>
    <t>11.  Do the budget instructions state that certain costs are excluded from F&amp;A?</t>
  </si>
  <si>
    <t xml:space="preserve">13.  Are there personnel on the project for which you need to prorate their effort? </t>
  </si>
  <si>
    <t>14.  Are there personnel on the project whose effort will be fully or partially covered by a cost share?</t>
  </si>
  <si>
    <t>12.   Is the extramural funding agency's F&amp;A rate available from the drop down menu of the "F&amp;A Rate" box in the budget?</t>
  </si>
  <si>
    <t>5.  If the answer to q. 4 is Yes, how many subawards meet this criteria?</t>
  </si>
  <si>
    <t>Answer q. 7 below; use "Federal Grad Student" worksheet tab to enter all $ amounts including $s for compensation.</t>
  </si>
  <si>
    <t>K34</t>
  </si>
  <si>
    <t>K40</t>
  </si>
  <si>
    <t>K45</t>
  </si>
  <si>
    <t>K50</t>
  </si>
  <si>
    <t>I58</t>
  </si>
  <si>
    <t>J58</t>
  </si>
  <si>
    <t>K73</t>
  </si>
  <si>
    <t>SUM(C14:C22)</t>
  </si>
  <si>
    <t>$B$27-$B$15</t>
  </si>
  <si>
    <t>$I$79</t>
  </si>
  <si>
    <t>$K$80</t>
  </si>
  <si>
    <t>$B$28</t>
  </si>
  <si>
    <t>K24</t>
  </si>
  <si>
    <t>K29</t>
  </si>
  <si>
    <t>&gt;</t>
  </si>
  <si>
    <t>change Ytab</t>
  </si>
  <si>
    <t>$I$78</t>
  </si>
  <si>
    <t>$B$26-$B$15</t>
  </si>
  <si>
    <r>
      <t xml:space="preserve">If your project will run more than one year, will the budget be </t>
    </r>
    <r>
      <rPr>
        <sz val="11"/>
        <rFont val="Arial"/>
        <family val="2"/>
      </rPr>
      <t>the same each year?</t>
    </r>
  </si>
  <si>
    <t>$I$97</t>
  </si>
  <si>
    <t>$I$96</t>
  </si>
  <si>
    <t>no change</t>
  </si>
  <si>
    <t>no  change</t>
  </si>
  <si>
    <t>sum($I$53:$I$55) + Y1-Y5 summary D21</t>
  </si>
  <si>
    <t>Instructions</t>
  </si>
  <si>
    <t>- Answer the questions on the Set Up tab.</t>
  </si>
  <si>
    <t>- In the budget form, enter $ amounts only in the gray areas so the budget adds up. Enter any descriptive text in the white spaces.</t>
  </si>
  <si>
    <t xml:space="preserve">      Do not complete any other annual budgets.  Note that the annual budget tabs will not autopopulate.</t>
  </si>
  <si>
    <r>
      <t xml:space="preserve">Questions 4- 9:  Applicable to NIH </t>
    </r>
    <r>
      <rPr>
        <b/>
        <u/>
        <sz val="14"/>
        <rFont val="Calibri"/>
        <family val="2"/>
        <scheme val="minor"/>
      </rPr>
      <t>and</t>
    </r>
    <r>
      <rPr>
        <b/>
        <sz val="14"/>
        <rFont val="Calibri"/>
        <family val="2"/>
        <scheme val="minor"/>
      </rPr>
      <t xml:space="preserve"> all Other Sponsored Projects when the Source of the Funding is Federal</t>
    </r>
  </si>
  <si>
    <t>Same Budget Qs</t>
  </si>
  <si>
    <t>Funding Federal?</t>
  </si>
  <si>
    <t>- Only complete this budget form if you answered No to q. 3 on the SetUp tab.</t>
  </si>
  <si>
    <t xml:space="preserve">       budget.  &gt;                                                                                                                &gt;                                                                                                          &gt;                                                                                                                   &gt;                                                                                      &gt;</t>
  </si>
  <si>
    <r>
      <t xml:space="preserve">    Answering this question allows for the appropriate amounts to populate the </t>
    </r>
    <r>
      <rPr>
        <u/>
        <sz val="11"/>
        <rFont val="Arial"/>
        <family val="2"/>
      </rPr>
      <t>Y1-5 Summary</t>
    </r>
    <r>
      <rPr>
        <sz val="11"/>
        <rFont val="Arial"/>
        <family val="2"/>
      </rPr>
      <t xml:space="preserve"> tab.</t>
    </r>
  </si>
  <si>
    <r>
      <t xml:space="preserve">      If Yes, please complete the Y1 budget tab only. Do not complete any other annual budgets.  The Y1 budget information will also populate the </t>
    </r>
    <r>
      <rPr>
        <u/>
        <sz val="11"/>
        <rFont val="Arial"/>
        <family val="2"/>
      </rPr>
      <t>Y1-5 Summary</t>
    </r>
    <r>
      <rPr>
        <sz val="11"/>
        <rFont val="Arial"/>
        <family val="2"/>
      </rPr>
      <t xml:space="preserve"> tab.</t>
    </r>
  </si>
  <si>
    <t>Please answer the questions below so the automated calculation formulas on the budget tabs work.</t>
  </si>
  <si>
    <r>
      <t xml:space="preserve">1.  Is this a NIH </t>
    </r>
    <r>
      <rPr>
        <u/>
        <sz val="11"/>
        <rFont val="Arial"/>
        <family val="2"/>
      </rPr>
      <t>K</t>
    </r>
    <r>
      <rPr>
        <sz val="11"/>
        <rFont val="Arial"/>
        <family val="2"/>
      </rPr>
      <t xml:space="preserve"> award with a </t>
    </r>
    <r>
      <rPr>
        <u/>
        <sz val="11"/>
        <rFont val="Arial"/>
        <family val="2"/>
      </rPr>
      <t>mandated</t>
    </r>
    <r>
      <rPr>
        <sz val="11"/>
        <rFont val="Arial"/>
        <family val="2"/>
      </rPr>
      <t xml:space="preserve"> PI salary cap (e.g., 75,000, 90,000)?</t>
    </r>
  </si>
  <si>
    <t>2.  Are there Genomic Array costs on your NIH budget?</t>
  </si>
  <si>
    <r>
      <t xml:space="preserve">3.  Does your project meet </t>
    </r>
    <r>
      <rPr>
        <u/>
        <sz val="11"/>
        <rFont val="Arial"/>
        <family val="2"/>
      </rPr>
      <t xml:space="preserve">all </t>
    </r>
    <r>
      <rPr>
        <sz val="11"/>
        <rFont val="Arial"/>
        <family val="2"/>
      </rPr>
      <t>the following criteria?</t>
    </r>
  </si>
  <si>
    <t>4.  If the answer to q. 8 is Yes, how many subawards meet this criteria?</t>
  </si>
  <si>
    <t>5.  Does your project meet the following criteria?</t>
  </si>
  <si>
    <r>
      <t xml:space="preserve">6.  Does your project meet </t>
    </r>
    <r>
      <rPr>
        <u/>
        <sz val="11"/>
        <rFont val="Arial"/>
        <family val="2"/>
      </rPr>
      <t>all</t>
    </r>
    <r>
      <rPr>
        <sz val="11"/>
        <rFont val="Arial"/>
        <family val="2"/>
      </rPr>
      <t xml:space="preserve"> of the following criteria?</t>
    </r>
  </si>
  <si>
    <r>
      <t xml:space="preserve">Questions 3 - 9:  Applicable to NIH </t>
    </r>
    <r>
      <rPr>
        <b/>
        <u/>
        <sz val="14"/>
        <rFont val="Calibri"/>
        <family val="2"/>
        <scheme val="minor"/>
      </rPr>
      <t>and</t>
    </r>
    <r>
      <rPr>
        <b/>
        <sz val="14"/>
        <rFont val="Calibri"/>
        <family val="2"/>
        <scheme val="minor"/>
      </rPr>
      <t xml:space="preserve"> all Other Sponsored Projects when the Source of the Funding is Federal</t>
    </r>
  </si>
  <si>
    <r>
      <t>Questions 1 - 2:  Applicable to</t>
    </r>
    <r>
      <rPr>
        <b/>
        <u/>
        <sz val="14"/>
        <rFont val="Calibri"/>
        <family val="2"/>
        <scheme val="minor"/>
      </rPr>
      <t xml:space="preserve"> NIH</t>
    </r>
    <r>
      <rPr>
        <b/>
        <sz val="14"/>
        <rFont val="Calibri"/>
        <family val="2"/>
        <scheme val="minor"/>
      </rPr>
      <t xml:space="preserve"> Only</t>
    </r>
  </si>
  <si>
    <r>
      <t xml:space="preserve">Questions 10- 11:  Applicable to Sponsored Projects when the Source of the Funding is </t>
    </r>
    <r>
      <rPr>
        <b/>
        <u/>
        <sz val="14"/>
        <rFont val="Calibri"/>
        <family val="2"/>
        <scheme val="minor"/>
      </rPr>
      <t>Non-Federal</t>
    </r>
  </si>
  <si>
    <t>Budget Set Up Questions</t>
  </si>
  <si>
    <t>Answer q. 7 below; use "Federal Grad Student" tab to enter all $ amounts including $s for compensation.</t>
  </si>
  <si>
    <t>Only choose the F&amp;A Rates in this section if you answer Yes to q. 9 below.</t>
  </si>
  <si>
    <r>
      <t xml:space="preserve">     - Enter the</t>
    </r>
    <r>
      <rPr>
        <u/>
        <sz val="11"/>
        <rFont val="Arial"/>
        <family val="2"/>
      </rPr>
      <t xml:space="preserve"> total</t>
    </r>
    <r>
      <rPr>
        <sz val="11"/>
        <rFont val="Arial"/>
        <family val="2"/>
      </rPr>
      <t xml:space="preserve"> % effort (i.e., % effort that this budget will cover for AND % effort cost shared) in the "Standard effort" column in the "Personnel" section.</t>
    </r>
  </si>
  <si>
    <r>
      <t xml:space="preserve">     - Enter </t>
    </r>
    <r>
      <rPr>
        <u/>
        <sz val="11"/>
        <rFont val="Arial"/>
        <family val="2"/>
      </rPr>
      <t>only</t>
    </r>
    <r>
      <rPr>
        <sz val="11"/>
        <rFont val="Arial"/>
        <family val="2"/>
      </rPr>
      <t xml:space="preserve"> the % effort that this </t>
    </r>
    <r>
      <rPr>
        <u/>
        <sz val="11"/>
        <rFont val="Arial"/>
        <family val="2"/>
      </rPr>
      <t>sponsored project budget</t>
    </r>
    <r>
      <rPr>
        <sz val="11"/>
        <rFont val="Arial"/>
        <family val="2"/>
      </rPr>
      <t xml:space="preserve"> will cover in the "Cost sharing" section of the budget.   The form then automatically calculates the % of the cost share.      &gt;</t>
    </r>
  </si>
  <si>
    <t xml:space="preserve">     Example:  PI devotes a total of 25% effort on the project.  You are requesting 15% on this sponsored project budget and 10% on a seed or unrestricted fund.</t>
  </si>
  <si>
    <t>10.  Does the extramural funding agency allow using Mount Sinai's standard non-federal fringe rate of 29% on the budget?</t>
  </si>
  <si>
    <t xml:space="preserve">     If Yes, please enter the # of months they will be working in the budget period in the prorating section.      &gt;</t>
  </si>
  <si>
    <t xml:space="preserve">     In addition, if this is a NIH K awardee on a federally sponsored project whose salary you'll neeed to prorate when the K award ends, answer Yes to the "K Awardee" question.     &gt;</t>
  </si>
  <si>
    <t>Additional Budget Options</t>
  </si>
  <si>
    <t>- Answer the questions in the Additional Budget Options section at the bottom of the form for more options (e.g., subawards, cost sharing, prorating, and other features.)  If you do not need any of these</t>
  </si>
  <si>
    <t xml:space="preserve">  options, you can skip this section.</t>
  </si>
  <si>
    <t>Non-Fed. Fringe Benefits</t>
  </si>
  <si>
    <t>Need more lines to enter costs in your budget? In a future version, we will develop the additional tabs (see tabs that begin with "Add.") in this workbook and link to the budget form.</t>
  </si>
  <si>
    <t xml:space="preserve">        If the F&amp;A Rate is not in the drop down menu, please add the rate in the space(s) provided. Then choose that rate from the "F&amp;A Rate" box in the budget.</t>
  </si>
  <si>
    <t>If you have entered a remaining portion in the subaward &gt; Genomic Arrays section of your budget, enter that amount up to $25,000, in the box provided. If the amount exceeds $25,000 just enter 25,000</t>
  </si>
  <si>
    <t xml:space="preserve">       - If you have entered a remaining portion in the subaward &gt; Genomic Arrays section of your budget, enter that amount up to $25,000, in the box provided. If the amount exceeds $25,000,</t>
  </si>
  <si>
    <t xml:space="preserve">         just enter $25,000 in the box.</t>
  </si>
  <si>
    <t>Pilot 11/14</t>
  </si>
  <si>
    <t xml:space="preserve">prorating fringe </t>
  </si>
  <si>
    <t xml:space="preserve">       b.  I have already included that subaward or subawards on the Sample_Y1 budget.  This is a continuation.</t>
  </si>
  <si>
    <t xml:space="preserve">       c.  At least one of the subaward total cost budgets (direct costs and facilities and administrative costs) in Sample_Y1 was less than $25,000.</t>
  </si>
  <si>
    <t>Sample_Y1 TC</t>
  </si>
  <si>
    <t>NIGMS</t>
  </si>
  <si>
    <t>Do righties or lefties make better jugglers?</t>
  </si>
  <si>
    <t>4/1/15-3/31/16</t>
  </si>
  <si>
    <t>Principal Investigator</t>
  </si>
  <si>
    <t>Emma Starr Treigny</t>
  </si>
  <si>
    <t>Research Coordinator</t>
  </si>
  <si>
    <t>Co-Investigator</t>
  </si>
  <si>
    <t>Graduate Student</t>
  </si>
  <si>
    <t>Juggling Machine</t>
  </si>
  <si>
    <t># of hours</t>
  </si>
  <si>
    <t>$s per hour</t>
  </si>
  <si>
    <t>Clinical Labs</t>
  </si>
  <si>
    <t># of Patients</t>
  </si>
  <si>
    <t># of Tests</t>
  </si>
  <si>
    <t>$ per test</t>
  </si>
  <si>
    <t>Barney Bailey</t>
  </si>
  <si>
    <t>Cirque du Ringling University (CRU)</t>
  </si>
  <si>
    <t>Subject Reimbursements</t>
  </si>
  <si>
    <t># of Sessions</t>
  </si>
  <si>
    <t>$ per session</t>
  </si>
  <si>
    <t>Sample_Y1</t>
  </si>
  <si>
    <t>Sample_Y1 Qs - General/Applicable for all years</t>
  </si>
  <si>
    <t>Sample_Y1-3 TC</t>
  </si>
  <si>
    <t>Sample_Y1 -5 TC</t>
  </si>
  <si>
    <t>Sample_Y5</t>
  </si>
  <si>
    <t>Sample_Y5 TC</t>
  </si>
  <si>
    <t>Sample_Y4</t>
  </si>
  <si>
    <t>Sample_Y4 TC</t>
  </si>
  <si>
    <t>Sample_Y1 -Sample_Y4 TC</t>
  </si>
  <si>
    <t>Sample_Y3</t>
  </si>
  <si>
    <t>Sample_Y3 TC</t>
  </si>
  <si>
    <t>Sample_Y2</t>
  </si>
  <si>
    <t>Sample_Y2 TC</t>
  </si>
  <si>
    <t>Sample_Y1 -Sample_Y2 TC</t>
  </si>
  <si>
    <t>4/1/15-3/31/20</t>
  </si>
  <si>
    <t>Budget Set Up Questions - SAMPLE</t>
  </si>
  <si>
    <t>SAMPLE BUDGET</t>
  </si>
  <si>
    <t>Subs - F&amp;A</t>
  </si>
  <si>
    <t>ISMMS - F&amp;A</t>
  </si>
  <si>
    <t>TC</t>
  </si>
  <si>
    <t>Budget Summary</t>
  </si>
  <si>
    <r>
      <t xml:space="preserve">DC (Modular Amount </t>
    </r>
    <r>
      <rPr>
        <u/>
        <sz val="11"/>
        <rFont val="Arial"/>
        <family val="2"/>
      </rPr>
      <t>or</t>
    </r>
    <r>
      <rPr>
        <sz val="11"/>
        <rFont val="Arial"/>
        <family val="2"/>
      </rPr>
      <t xml:space="preserve"> ISMMS DC + Subs DC)</t>
    </r>
  </si>
  <si>
    <t>Laura Leftkowitz</t>
  </si>
  <si>
    <t>Ann B. Dextrous</t>
  </si>
  <si>
    <t>Hank Lloyd Right</t>
  </si>
  <si>
    <t xml:space="preserve">         If the amount exceeds $25,000, just enter $25,000 in the box.</t>
  </si>
  <si>
    <t xml:space="preserve">       - If you have entered a remaining portion in the subaward &gt; Genomic Arrays section of your budget, enter that amount up to $25,000, in the box provided. </t>
  </si>
  <si>
    <t>For budgeting tips in Excel and a sample of a completed budget, see Sample tabs at the end of this workbook.</t>
  </si>
  <si>
    <t>* On NIH grants, may include additional genomic array costs.</t>
  </si>
  <si>
    <t>Note:  Use of this budget template is optional.</t>
  </si>
  <si>
    <t>Tuition</t>
  </si>
  <si>
    <t>Subaward Total DC (no Genomic Arrays)</t>
  </si>
  <si>
    <t>Y1 DC</t>
  </si>
  <si>
    <t>Y2 DC</t>
  </si>
  <si>
    <t>Y3 DC</t>
  </si>
  <si>
    <t>Y4 DC</t>
  </si>
  <si>
    <t>Y5 DC</t>
  </si>
  <si>
    <t>rev 8/15</t>
  </si>
  <si>
    <r>
      <t xml:space="preserve">      You must answer </t>
    </r>
    <r>
      <rPr>
        <u/>
        <sz val="11"/>
        <rFont val="Arial"/>
        <family val="2"/>
      </rPr>
      <t>No</t>
    </r>
    <r>
      <rPr>
        <sz val="11"/>
        <rFont val="Arial"/>
        <family val="2"/>
      </rPr>
      <t xml:space="preserve"> if your project meets the following criteria:</t>
    </r>
  </si>
  <si>
    <r>
      <t xml:space="preserve">      If </t>
    </r>
    <r>
      <rPr>
        <u/>
        <sz val="11"/>
        <rFont val="Arial"/>
        <family val="2"/>
      </rPr>
      <t>Yes</t>
    </r>
    <r>
      <rPr>
        <sz val="11"/>
        <rFont val="Arial"/>
        <family val="2"/>
      </rPr>
      <t xml:space="preserve">, please complete the Y1 budget tab only. Do not complete any other annual budgets.  The Y1 budget information populates the </t>
    </r>
    <r>
      <rPr>
        <u/>
        <sz val="11"/>
        <rFont val="Arial"/>
        <family val="2"/>
      </rPr>
      <t>Y1-5 Summary</t>
    </r>
    <r>
      <rPr>
        <sz val="11"/>
        <rFont val="Arial"/>
        <family val="2"/>
      </rPr>
      <t xml:space="preserve"> tab.</t>
    </r>
  </si>
  <si>
    <r>
      <t xml:space="preserve">      </t>
    </r>
    <r>
      <rPr>
        <sz val="11"/>
        <color rgb="FFFF0000"/>
        <rFont val="Arial"/>
        <family val="2"/>
      </rPr>
      <t>Note that the annual budget tabs do not autopopulate.  See the Y1-5 Summary Tab for complete budget information.</t>
    </r>
  </si>
  <si>
    <t>4.  If the answer to q. 3 is Yes, how many subawards meet this criteria?</t>
  </si>
  <si>
    <t>Total Compensation Package Cap :</t>
  </si>
  <si>
    <t>rev. 8/15</t>
  </si>
  <si>
    <t>Need more lines to enter costs in your budget? Use the tabs that begin with the word "Add." and link the costs to the sections above in this spreadsheet.</t>
  </si>
  <si>
    <t>enter budget period in this cell on Y1 tab</t>
  </si>
  <si>
    <t>to be developed by user</t>
  </si>
  <si>
    <t>Add more subaward lines and link the subaward subtotal from this sheet into row 62 cells and columns I, J, and K of each of the budget sheets.</t>
  </si>
  <si>
    <t>Add more other direct costs and link the other direct costs subtotal from this sheet into cell K77 of each of the budget sheets.</t>
  </si>
  <si>
    <t>Add more personnel lines and link the personnel subtotal from this sheet into cell K28 on each of the budget sheets.</t>
  </si>
  <si>
    <t>Add more consultant lines and link the consultant subtotal from this sheet into cell K38 on each of the budget sheets.</t>
  </si>
  <si>
    <t>Add more supply lines and link the supply subtotal from this sheet into cell K44 on each of the budget sheets.</t>
  </si>
  <si>
    <t>Add more patient care cost (PCC) lines and link the PCC subtotal from this sheet into cell K54 on each of the budget sheets.</t>
  </si>
  <si>
    <t>Add more travel lines and link the travel subtotal from this sheet into cell K49 on each of the budget sheets.</t>
  </si>
  <si>
    <r>
      <t xml:space="preserve">      - The indirect costs are </t>
    </r>
    <r>
      <rPr>
        <u/>
        <sz val="11"/>
        <rFont val="Arial"/>
        <family val="2"/>
      </rPr>
      <t>different</t>
    </r>
    <r>
      <rPr>
        <sz val="11"/>
        <rFont val="Arial"/>
        <family val="2"/>
      </rPr>
      <t xml:space="preserve"> each year.</t>
    </r>
  </si>
  <si>
    <t>F&amp;A Rate 1 --  F&amp;A  subtotal</t>
  </si>
  <si>
    <t>F&amp;A Rate 2 --  F&amp;A subtotal</t>
  </si>
  <si>
    <t>F&amp;A Rate 1 -- Amount of Base</t>
  </si>
  <si>
    <t>F&amp;A Rate 2 --  Amount of Base</t>
  </si>
  <si>
    <r>
      <rPr>
        <b/>
        <u/>
        <sz val="8"/>
        <rFont val="Arial"/>
        <family val="2"/>
      </rPr>
      <t>COMBINED</t>
    </r>
    <r>
      <rPr>
        <b/>
        <sz val="8"/>
        <rFont val="Arial"/>
        <family val="2"/>
      </rPr>
      <t xml:space="preserve"> F&amp;A RATES WHEN THE SOURCE OF THE FUNDING IS FEDERAL</t>
    </r>
  </si>
  <si>
    <t xml:space="preserve">agreements is tied to the post doc level 0 amount on NRSA grants.  </t>
  </si>
  <si>
    <r>
      <t xml:space="preserve">Questions 11- 13:  Applicable to </t>
    </r>
    <r>
      <rPr>
        <b/>
        <u/>
        <sz val="14"/>
        <rFont val="Calibri"/>
        <family val="2"/>
        <scheme val="minor"/>
      </rPr>
      <t>All</t>
    </r>
    <r>
      <rPr>
        <b/>
        <sz val="14"/>
        <rFont val="Calibri"/>
        <family val="2"/>
        <scheme val="minor"/>
      </rPr>
      <t xml:space="preserve"> Extramural Funding Agencies</t>
    </r>
  </si>
  <si>
    <t>11.   Is the extramural funding agency's F&amp;A rate available from the drop down menu of the "F&amp;A Rate" box in the budget?</t>
  </si>
  <si>
    <t>13.  Are there personnel on the project whose effort will be fully or partially covered by a cost share?</t>
  </si>
  <si>
    <t>Fed. grants - excluded from Base</t>
  </si>
  <si>
    <t xml:space="preserve">    Federal Graduate Student Section</t>
  </si>
  <si>
    <t xml:space="preserve">   In the "Personnel" section </t>
  </si>
  <si>
    <t xml:space="preserve">  Grad. Stud. base salaries.</t>
  </si>
  <si>
    <t xml:space="preserve">    Federal Non - Graduate Student Tuition / Fees (e.g., K award tuition/fees)</t>
  </si>
  <si>
    <r>
      <rPr>
        <sz val="11"/>
        <rFont val="Arial"/>
        <family val="2"/>
      </rPr>
      <t xml:space="preserve">  </t>
    </r>
    <r>
      <rPr>
        <u/>
        <sz val="11"/>
        <rFont val="Arial"/>
        <family val="2"/>
      </rPr>
      <t>Federal Graduate Student Section</t>
    </r>
  </si>
  <si>
    <r>
      <t xml:space="preserve"> of this budget, do </t>
    </r>
    <r>
      <rPr>
        <u/>
        <sz val="11"/>
        <color rgb="FFFF0000"/>
        <rFont val="Arial"/>
        <family val="2"/>
      </rPr>
      <t>not enter</t>
    </r>
  </si>
  <si>
    <t>- In the budget form, enter amounts only in the gray areas so the budget adds up. Enter any descriptive text in the white spaces.</t>
  </si>
  <si>
    <t>- In the budget form, enter amounts only in the gray areas. Enter any descriptive text in the white spaces.</t>
  </si>
  <si>
    <r>
      <t xml:space="preserve">   of this budget, do </t>
    </r>
    <r>
      <rPr>
        <u/>
        <sz val="11"/>
        <color rgb="FFFF0000"/>
        <rFont val="Arial"/>
        <family val="2"/>
      </rPr>
      <t>not enter</t>
    </r>
  </si>
  <si>
    <r>
      <t xml:space="preserve">Questions 3 - 8:  Applicable to NIH </t>
    </r>
    <r>
      <rPr>
        <b/>
        <u/>
        <sz val="14"/>
        <rFont val="Calibri"/>
        <family val="2"/>
        <scheme val="minor"/>
      </rPr>
      <t>and</t>
    </r>
    <r>
      <rPr>
        <b/>
        <sz val="14"/>
        <rFont val="Calibri"/>
        <family val="2"/>
        <scheme val="minor"/>
      </rPr>
      <t xml:space="preserve"> all Other Sponsored Projects when the Source of the Funding is Federal</t>
    </r>
  </si>
  <si>
    <r>
      <t xml:space="preserve">     If Yes, this form will calculate fringe benefits on salaries using the federal rate of 30.5% </t>
    </r>
    <r>
      <rPr>
        <u/>
        <sz val="11"/>
        <rFont val="Arial"/>
        <family val="2"/>
      </rPr>
      <t>and</t>
    </r>
    <r>
      <rPr>
        <sz val="11"/>
        <rFont val="Arial"/>
        <family val="2"/>
      </rPr>
      <t xml:space="preserve"> will exclude the standard excludable items when calculating F&amp;A.</t>
    </r>
  </si>
  <si>
    <t xml:space="preserve">     If No, this form will calculate fringe benefits on salaries using the non-federal rate of 31.5%.</t>
  </si>
  <si>
    <r>
      <t xml:space="preserve">Questions 4 - 8:  Applicable to NIH </t>
    </r>
    <r>
      <rPr>
        <b/>
        <u/>
        <sz val="14"/>
        <rFont val="Calibri"/>
        <family val="2"/>
        <scheme val="minor"/>
      </rPr>
      <t>and</t>
    </r>
    <r>
      <rPr>
        <b/>
        <sz val="14"/>
        <rFont val="Calibri"/>
        <family val="2"/>
        <scheme val="minor"/>
      </rPr>
      <t xml:space="preserve"> all Other Sponsored Projects when the Source of the Funding is Federal</t>
    </r>
  </si>
  <si>
    <t xml:space="preserve">  features.)  If you do not need any of these options, you can skip this section.</t>
  </si>
  <si>
    <t xml:space="preserve">     Ex:  PI devotes a total of 3 CM (25%) on the project.  You are requesting 1.8 CM (15%) on this sponsored project budget and 1.2 CM (10%) on a seed or unrestricted fund.</t>
  </si>
  <si>
    <r>
      <t xml:space="preserve">     - Enter the</t>
    </r>
    <r>
      <rPr>
        <u/>
        <sz val="11"/>
        <rFont val="Arial"/>
        <family val="2"/>
      </rPr>
      <t xml:space="preserve"> total</t>
    </r>
    <r>
      <rPr>
        <sz val="11"/>
        <rFont val="Arial"/>
        <family val="2"/>
      </rPr>
      <t xml:space="preserve"> CM effort (i.e., CM effort that this budget will cover for AND % effort cost shared) in the "Standard effort" column in the "Personnel" section.</t>
    </r>
  </si>
  <si>
    <t>CM effort on budget</t>
  </si>
  <si>
    <t>CM effort cost shared</t>
  </si>
  <si>
    <t>Calendar Months</t>
  </si>
  <si>
    <t>K Awardee on Budget</t>
  </si>
  <si>
    <r>
      <t xml:space="preserve">2.  Is this an NIH </t>
    </r>
    <r>
      <rPr>
        <u/>
        <sz val="11"/>
        <rFont val="Arial"/>
        <family val="2"/>
      </rPr>
      <t>K</t>
    </r>
    <r>
      <rPr>
        <sz val="11"/>
        <rFont val="Arial"/>
        <family val="2"/>
      </rPr>
      <t xml:space="preserve"> award budget?  </t>
    </r>
    <r>
      <rPr>
        <u/>
        <sz val="11"/>
        <rFont val="Arial"/>
        <family val="2"/>
      </rPr>
      <t>And</t>
    </r>
    <r>
      <rPr>
        <sz val="11"/>
        <rFont val="Arial"/>
        <family val="2"/>
      </rPr>
      <t xml:space="preserve"> is there a PI salary cap (e.g., 75,000, 90,000)?</t>
    </r>
  </si>
  <si>
    <t xml:space="preserve">    If you need to cover the salary for 2 months of the budget period (Months 11 and 12), enter 2.  If you need to cover 9 months of the budget period (Month 4 through Month 12), enter 9.</t>
  </si>
  <si>
    <t xml:space="preserve">     If Yes, please enter the # of months that need to be covered in Column N andanswer Yes to the question in Column P .      &gt;</t>
  </si>
  <si>
    <t xml:space="preserve">9.  Is there a K awardee on the budget who needs his/her salary covered due to the K award ending in this budget period? </t>
  </si>
  <si>
    <t>10.  Does the extramural funding agency allow using Mount Sinai's standard non-federal fringe rate of 31.5% on the budget?</t>
  </si>
  <si>
    <r>
      <t xml:space="preserve">Questions 10 - 11:  Applicable to Sponsored Projects when the Source of the Funding is </t>
    </r>
    <r>
      <rPr>
        <b/>
        <u/>
        <sz val="14"/>
        <rFont val="Calibri"/>
        <family val="2"/>
        <scheme val="minor"/>
      </rPr>
      <t>Non-Federal</t>
    </r>
  </si>
  <si>
    <r>
      <t xml:space="preserve">Questions 12- 13:  Applicable to </t>
    </r>
    <r>
      <rPr>
        <b/>
        <u/>
        <sz val="14"/>
        <rFont val="Calibri"/>
        <family val="2"/>
        <scheme val="minor"/>
      </rPr>
      <t>All</t>
    </r>
    <r>
      <rPr>
        <b/>
        <sz val="14"/>
        <rFont val="Calibri"/>
        <family val="2"/>
        <scheme val="minor"/>
      </rPr>
      <t xml:space="preserve"> Extramural Funding Agencies</t>
    </r>
  </si>
  <si>
    <t>Old q   Will research be conducted at both the Mount Sinai and James J Peters VA Medical Center campuses for this project?</t>
  </si>
  <si>
    <t>prorated % effort</t>
  </si>
  <si>
    <t>1. PI Name:</t>
  </si>
  <si>
    <t>2. Funding Agency Name:</t>
  </si>
  <si>
    <t>3. Project Title:</t>
  </si>
  <si>
    <t>4. Budget Period:</t>
  </si>
  <si>
    <t>5. GCO #:</t>
  </si>
  <si>
    <t>6. Fund #:</t>
  </si>
  <si>
    <t>7. Agency #:</t>
  </si>
  <si>
    <t>`</t>
  </si>
  <si>
    <t>Genomic Arrays: If you already entered $50,000 in the "Supplies" section, enter any additional costs in "Subs DC" in this row.</t>
  </si>
  <si>
    <r>
      <t xml:space="preserve">Questions 10-11: Applicable to Sponsored Projects when the Source of the Funding is </t>
    </r>
    <r>
      <rPr>
        <b/>
        <u/>
        <sz val="14"/>
        <rFont val="Calibri"/>
        <family val="2"/>
        <scheme val="minor"/>
      </rPr>
      <t>Non-Federal</t>
    </r>
  </si>
  <si>
    <t xml:space="preserve">         provided.  If the amount exceeds $25,000, just enter $25,000 in the box.</t>
  </si>
  <si>
    <t xml:space="preserve">       - If you have entered a remaining portion in the subaward &gt; Genomic Arrays section of your budget, enter that amount up to $25,000, in the box</t>
  </si>
  <si>
    <t xml:space="preserve">          - If the answer is Yes, in addition to entering the subaward(s) DC and F&amp;A costs in your budget, enter the TC amount for each subaward in the</t>
  </si>
  <si>
    <t xml:space="preserve">            boxes provided.  If the subaward budget(s) continues in the following year(s), see the instructions on those budget tabs (Y3, Y4, and Y5).</t>
  </si>
  <si>
    <t xml:space="preserve">9.  Is there a K awardee on the budget who needs his/her salary covered due to K award ending in this budget period? </t>
  </si>
  <si>
    <t xml:space="preserve">     If you need to cover the salary for 2 months of the budget period (Months 11 and 12), enter 2.  If you need to cover 9 months of the budget period (Month 4 through Month 12), enter 9.</t>
  </si>
  <si>
    <t xml:space="preserve">     in 3 of the 12 months.</t>
  </si>
  <si>
    <t xml:space="preserve">     Examples:  K awardee 1.8 CM on your research grant, and her K award funding ends in Months 10 of Month 12 of your grant. You therefore you need to pay for her effort</t>
  </si>
  <si>
    <t xml:space="preserve">         If the F&amp;A Rate is not in the drop down menu, please add the rate in the space provided. Then choose that rate from the "F&amp;A Rate" box in your budget.</t>
  </si>
  <si>
    <t xml:space="preserve">     Ex:  PI devotes a total of 3 CM on the project.  You are requesting 1.8 CM on this sponsored project budget and 1.2 CM on a seed or unrestricted fund.</t>
  </si>
  <si>
    <t xml:space="preserve">     Ex:  PI devotes a total of 3 CM on the project. You are requesting 1.8 CM on this sponsored project budget and 1.2 CM on a seed or unrestricted fund.</t>
  </si>
  <si>
    <t># of months span</t>
  </si>
  <si>
    <t xml:space="preserve">     If Yes, please enter the # of months that need to be covered in Column N and answer Yes to the question in Column P .      &gt;</t>
  </si>
  <si>
    <t xml:space="preserve">     Examples:  K awardee 1.8 CM on your research grant, and her K award funding ends in Months 10 of Month 12 of your grant. You therefore you need to pay for her effort in 3 of the </t>
  </si>
  <si>
    <t xml:space="preserve">                      12 months.</t>
  </si>
  <si>
    <r>
      <t xml:space="preserve">     - Enter the</t>
    </r>
    <r>
      <rPr>
        <u/>
        <sz val="11"/>
        <rFont val="Arial"/>
        <family val="2"/>
      </rPr>
      <t xml:space="preserve"> total</t>
    </r>
    <r>
      <rPr>
        <sz val="11"/>
        <rFont val="Arial"/>
        <family val="2"/>
      </rPr>
      <t xml:space="preserve"> CM effort (i.e., CM effort that this budget will cover for AND CMeffort cost shared) in the "Standard effort" column in the "Personnel" section.</t>
    </r>
  </si>
  <si>
    <r>
      <t xml:space="preserve">     - Enter </t>
    </r>
    <r>
      <rPr>
        <u/>
        <sz val="11"/>
        <rFont val="Arial"/>
        <family val="2"/>
      </rPr>
      <t>only</t>
    </r>
    <r>
      <rPr>
        <sz val="11"/>
        <rFont val="Arial"/>
        <family val="2"/>
      </rPr>
      <t xml:space="preserve"> the CM effort that this </t>
    </r>
    <r>
      <rPr>
        <u/>
        <sz val="11"/>
        <rFont val="Arial"/>
        <family val="2"/>
      </rPr>
      <t>sponsored project budget</t>
    </r>
    <r>
      <rPr>
        <sz val="11"/>
        <rFont val="Arial"/>
        <family val="2"/>
      </rPr>
      <t xml:space="preserve"> will cover in the "Cost sharing" section of the budget.   The form then automatically calculates the CM of the cost share.    &gt;</t>
    </r>
  </si>
  <si>
    <r>
      <t xml:space="preserve">     - Enter the</t>
    </r>
    <r>
      <rPr>
        <u/>
        <sz val="11"/>
        <rFont val="Arial"/>
        <family val="2"/>
      </rPr>
      <t xml:space="preserve"> total</t>
    </r>
    <r>
      <rPr>
        <sz val="11"/>
        <rFont val="Arial"/>
        <family val="2"/>
      </rPr>
      <t xml:space="preserve"> CM effort (i.e., CM effort that this budget will cover for AND CM effort cost shared) in the "Standard effort" column in the "Personnel" section.</t>
    </r>
  </si>
  <si>
    <t xml:space="preserve">       of the cost share.       &gt;</t>
  </si>
  <si>
    <r>
      <t xml:space="preserve">     - Enter </t>
    </r>
    <r>
      <rPr>
        <u/>
        <sz val="11"/>
        <rFont val="Arial"/>
        <family val="2"/>
      </rPr>
      <t>only</t>
    </r>
    <r>
      <rPr>
        <sz val="11"/>
        <rFont val="Arial"/>
        <family val="2"/>
      </rPr>
      <t xml:space="preserve"> the CM effort that this </t>
    </r>
    <r>
      <rPr>
        <u/>
        <sz val="11"/>
        <rFont val="Arial"/>
        <family val="2"/>
      </rPr>
      <t>sponsored project budget</t>
    </r>
    <r>
      <rPr>
        <sz val="11"/>
        <rFont val="Arial"/>
        <family val="2"/>
      </rPr>
      <t xml:space="preserve"> will cover in the "Cost sharing" section of the budget.   The form then automatically calculates the CM of the cost share.       </t>
    </r>
  </si>
  <si>
    <t xml:space="preserve">     If Yes, please follow these instructions:                                        &gt;</t>
  </si>
  <si>
    <r>
      <t xml:space="preserve">Questions 10-11:  Applicable to Sponsored Projects when the Source of the Funding is </t>
    </r>
    <r>
      <rPr>
        <b/>
        <u/>
        <sz val="14"/>
        <rFont val="Calibri"/>
        <family val="2"/>
        <scheme val="minor"/>
      </rPr>
      <t>Non-Federal</t>
    </r>
  </si>
  <si>
    <t>Prorated % effort</t>
  </si>
  <si>
    <r>
      <t xml:space="preserve">     - Enter </t>
    </r>
    <r>
      <rPr>
        <u/>
        <sz val="11"/>
        <rFont val="Arial"/>
        <family val="2"/>
      </rPr>
      <t>only</t>
    </r>
    <r>
      <rPr>
        <sz val="11"/>
        <rFont val="Arial"/>
        <family val="2"/>
      </rPr>
      <t xml:space="preserve"> the CM effort that this </t>
    </r>
    <r>
      <rPr>
        <u/>
        <sz val="11"/>
        <rFont val="Arial"/>
        <family val="2"/>
      </rPr>
      <t>sponsored project budget</t>
    </r>
    <r>
      <rPr>
        <sz val="11"/>
        <rFont val="Arial"/>
        <family val="2"/>
      </rPr>
      <t xml:space="preserve"> will cover in the "Cost sharing" section of the budget.   The form then automatically calculates the CM of the cost share.      </t>
    </r>
  </si>
  <si>
    <r>
      <t xml:space="preserve">     - Enter </t>
    </r>
    <r>
      <rPr>
        <u/>
        <sz val="11"/>
        <rFont val="Arial"/>
        <family val="2"/>
      </rPr>
      <t>only</t>
    </r>
    <r>
      <rPr>
        <sz val="11"/>
        <rFont val="Arial"/>
        <family val="2"/>
      </rPr>
      <t xml:space="preserve"> the CM effort that this </t>
    </r>
    <r>
      <rPr>
        <u/>
        <sz val="11"/>
        <rFont val="Arial"/>
        <family val="2"/>
      </rPr>
      <t>sponsored project budget</t>
    </r>
    <r>
      <rPr>
        <sz val="11"/>
        <rFont val="Arial"/>
        <family val="2"/>
      </rPr>
      <t xml:space="preserve"> will cover in the "Cost sharing" section of the budget.   The form then automatically calculates the CM of the cost share.</t>
    </r>
  </si>
  <si>
    <t xml:space="preserve">     If Yes, please enter the # of months that need to be covered in Column N andanswer Yes to the question in Column P.      &gt;</t>
  </si>
  <si>
    <r>
      <t xml:space="preserve">     - Enter </t>
    </r>
    <r>
      <rPr>
        <u/>
        <sz val="11"/>
        <rFont val="Arial"/>
        <family val="2"/>
      </rPr>
      <t>only</t>
    </r>
    <r>
      <rPr>
        <sz val="11"/>
        <rFont val="Arial"/>
        <family val="2"/>
      </rPr>
      <t xml:space="preserve"> the CM effort that this </t>
    </r>
    <r>
      <rPr>
        <u/>
        <sz val="11"/>
        <rFont val="Arial"/>
        <family val="2"/>
      </rPr>
      <t>sponsored project budget</t>
    </r>
    <r>
      <rPr>
        <sz val="11"/>
        <rFont val="Arial"/>
        <family val="2"/>
      </rPr>
      <t xml:space="preserve"> will cover in the "Cost sharing" section of the budget.   The form then automatically calculates the CM of the cost share.  &gt; </t>
    </r>
  </si>
  <si>
    <t xml:space="preserve">      - If you have entered a remaining portion in the subaward &gt; Genomic Arrays section of your budget, enter that amount up to $25,000, in the box provided. </t>
  </si>
  <si>
    <t>Conversion Calculators</t>
  </si>
  <si>
    <t>This budget workbook uses Calendar Month effort.  Use the calculators below for any conversions.</t>
  </si>
  <si>
    <t>Enter information in yellow box. Converted answer is in green box.</t>
  </si>
  <si>
    <t xml:space="preserve">Do not use these calculators for part-time employees!  If a faculty member is part-time, annualize the base salary.  </t>
  </si>
  <si>
    <t>See P-T faculty tab.  Once the p/t base salary is annualized, you may use these effort conversion calculators.</t>
  </si>
  <si>
    <t xml:space="preserve">Percent Effort to CM </t>
  </si>
  <si>
    <t>CM to Percent Effort</t>
  </si>
  <si>
    <t>Part-Time Faculty</t>
  </si>
  <si>
    <t>Instructions: Use this method for budgeting part-time faculty for all sponsored projects</t>
  </si>
  <si>
    <t xml:space="preserve">Enter information in the yellow boxes. </t>
  </si>
  <si>
    <t>Annualize Part-Time Faculty Member's Base Salary for Sponsored Project Budget</t>
  </si>
  <si>
    <t>P/T base salary</t>
  </si>
  <si>
    <t>% of a full-time appt</t>
  </si>
  <si>
    <t>F/T base salary equivalent</t>
  </si>
  <si>
    <t>Use this base salary on your budget.</t>
  </si>
  <si>
    <t>For DHHS sponsored projects, if this amount is over the NIH cap, use the NIH cap on your budget.</t>
  </si>
  <si>
    <t>Notes</t>
  </si>
  <si>
    <t>-  Full time faculty appointments are not based on an hourly system.</t>
  </si>
  <si>
    <t>- NIH Guidance</t>
  </si>
  <si>
    <r>
      <rPr>
        <sz val="10"/>
        <color theme="10"/>
        <rFont val="Arial"/>
        <family val="2"/>
      </rPr>
      <t xml:space="preserve">  </t>
    </r>
    <r>
      <rPr>
        <u/>
        <sz val="10"/>
        <color theme="10"/>
        <rFont val="Arial"/>
        <family val="2"/>
      </rPr>
      <t>NIH Part Time Effort / Base Salary Determination</t>
    </r>
  </si>
  <si>
    <t xml:space="preserve">  Excerpt from the NIH webpage is below.</t>
  </si>
  <si>
    <t># of hours in weekly appointment</t>
  </si>
  <si>
    <t>1.    CM Effort</t>
  </si>
  <si>
    <t xml:space="preserve">- Answer the questions in the Additional Budget Options section at the bottom of the form for more options (e.g., modular, subawards, cost sharing, and other </t>
  </si>
  <si>
    <t>4.    CM Effort</t>
  </si>
  <si>
    <t>rev. 6/2023</t>
  </si>
  <si>
    <t>Remember to also enter the Grad Student's name, role, and CM effort in the "Personnel" section of the budget.</t>
  </si>
  <si>
    <t xml:space="preserve">rev. 6/2023 </t>
  </si>
  <si>
    <t xml:space="preserve"> If you do not need any of these options, you can skip this section.</t>
  </si>
  <si>
    <t xml:space="preserve">- Answer the questions in the Additional Budget Options section at the bottom of the form for more options (e.g., modular, subawards, cost sharing, and other features.) </t>
  </si>
  <si>
    <t>- Answer the questions in the Additional Budget Options section at the bottom of the form for more options (e.g., modular, subawards, cost sharing, and other features.)</t>
  </si>
  <si>
    <t xml:space="preserve">  If you do not need any of these options, you can skip this section.</t>
  </si>
  <si>
    <t>rev. 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</si>
</sst>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_(* #,##0.000_);_(* \(#,##0.000\);_(* &quot;-&quot;???_);_(@_)"/>
    <numFmt numFmtId="168" formatCode="_(* #,##0.0_);_(* \(#,##0.0\);_(* &quot;-&quot;?_);_(@_)"/>
    <numFmt numFmtId="169" formatCode="0.0000%"/>
  </numFmts>
  <fonts count="8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theme="10"/>
      <name val="Arial"/>
      <family val="2"/>
    </font>
    <font>
      <u/>
      <sz val="10"/>
      <color theme="11"/>
      <name val="Arial"/>
      <family val="2"/>
    </font>
    <font>
      <sz val="10"/>
      <name val="Arial"/>
      <family val="2"/>
    </font>
    <font>
      <b/>
      <sz val="11"/>
      <name val="Arial"/>
      <family val="2"/>
    </font>
    <font>
      <sz val="11"/>
      <name val="Arial"/>
      <family val="2"/>
    </font>
    <font>
      <i/>
      <sz val="11"/>
      <name val="Arial"/>
      <family val="2"/>
    </font>
    <font>
      <u/>
      <sz val="11"/>
      <name val="Arial"/>
      <family val="2"/>
    </font>
    <font>
      <sz val="11"/>
      <color indexed="10"/>
      <name val="Arial"/>
      <family val="2"/>
    </font>
    <font>
      <b/>
      <u/>
      <sz val="11"/>
      <name val="Arial"/>
      <family val="2"/>
    </font>
    <font>
      <u val="singleAccounting"/>
      <sz val="11"/>
      <name val="Arial"/>
      <family val="2"/>
    </font>
    <font>
      <u/>
      <sz val="10"/>
      <color theme="10"/>
      <name val="Arial"/>
      <family val="2"/>
    </font>
    <font>
      <i/>
      <sz val="11"/>
      <color rgb="FFFF0000"/>
      <name val="Arial"/>
      <family val="2"/>
    </font>
    <font>
      <b/>
      <sz val="9"/>
      <color indexed="81"/>
      <name val="Tahoma"/>
      <family val="2"/>
    </font>
    <font>
      <sz val="9"/>
      <color indexed="81"/>
      <name val="Tahoma"/>
      <family val="2"/>
    </font>
    <font>
      <b/>
      <i/>
      <sz val="11"/>
      <color rgb="FFFF0000"/>
      <name val="Arial"/>
      <family val="2"/>
    </font>
    <font>
      <u/>
      <sz val="11"/>
      <color theme="10"/>
      <name val="Calibri"/>
      <family val="2"/>
      <scheme val="minor"/>
    </font>
    <font>
      <b/>
      <i/>
      <sz val="11"/>
      <name val="Arial"/>
      <family val="2"/>
    </font>
    <font>
      <sz val="11"/>
      <color theme="0"/>
      <name val="Arial"/>
      <family val="2"/>
    </font>
    <font>
      <b/>
      <sz val="11"/>
      <color theme="0"/>
      <name val="Arial"/>
      <family val="2"/>
    </font>
    <font>
      <u/>
      <sz val="11"/>
      <color theme="10"/>
      <name val="Arial"/>
      <family val="2"/>
    </font>
    <font>
      <sz val="11"/>
      <name val="Verdana"/>
      <family val="2"/>
    </font>
    <font>
      <sz val="10"/>
      <color rgb="FF333333"/>
      <name val="Calibri"/>
      <family val="2"/>
    </font>
    <font>
      <b/>
      <sz val="11"/>
      <color theme="1"/>
      <name val="Calibri"/>
      <family val="2"/>
      <scheme val="minor"/>
    </font>
    <font>
      <b/>
      <sz val="14"/>
      <color rgb="FFFF0000"/>
      <name val="Calibri"/>
      <family val="2"/>
    </font>
    <font>
      <sz val="14"/>
      <color rgb="FFFF0000"/>
      <name val="Calibri"/>
      <family val="2"/>
    </font>
    <font>
      <sz val="11"/>
      <color rgb="FFFF0000"/>
      <name val="Arial"/>
      <family val="2"/>
    </font>
    <font>
      <u/>
      <sz val="11"/>
      <name val="Calibri"/>
      <family val="2"/>
      <scheme val="minor"/>
    </font>
    <font>
      <sz val="11"/>
      <name val="Calibri"/>
      <family val="2"/>
      <scheme val="minor"/>
    </font>
    <font>
      <i/>
      <sz val="11"/>
      <name val="Calibri"/>
      <family val="2"/>
      <scheme val="minor"/>
    </font>
    <font>
      <b/>
      <sz val="11"/>
      <name val="Calibri"/>
      <family val="2"/>
      <scheme val="minor"/>
    </font>
    <font>
      <u/>
      <sz val="11"/>
      <color theme="1"/>
      <name val="Calibri"/>
      <family val="2"/>
      <scheme val="minor"/>
    </font>
    <font>
      <sz val="11"/>
      <color rgb="FF333333"/>
      <name val="Calibri"/>
      <family val="2"/>
      <scheme val="minor"/>
    </font>
    <font>
      <sz val="11"/>
      <color rgb="FF000000"/>
      <name val="Calibri"/>
      <family val="2"/>
      <scheme val="minor"/>
    </font>
    <font>
      <b/>
      <u/>
      <sz val="11"/>
      <color theme="1"/>
      <name val="Calibri"/>
      <family val="2"/>
      <scheme val="minor"/>
    </font>
    <font>
      <b/>
      <u/>
      <sz val="11"/>
      <name val="Calibri"/>
      <family val="2"/>
      <scheme val="minor"/>
    </font>
    <font>
      <b/>
      <u/>
      <sz val="11"/>
      <color theme="10"/>
      <name val="Calibri"/>
      <family val="2"/>
      <scheme val="minor"/>
    </font>
    <font>
      <b/>
      <sz val="12"/>
      <name val="Calibri"/>
      <family val="2"/>
      <scheme val="minor"/>
    </font>
    <font>
      <b/>
      <u/>
      <sz val="12"/>
      <color theme="2" tint="-0.749992370372631"/>
      <name val="Calibri"/>
      <family val="2"/>
      <scheme val="minor"/>
    </font>
    <font>
      <b/>
      <i/>
      <u/>
      <sz val="12"/>
      <color theme="2" tint="-0.749992370372631"/>
      <name val="Calibri"/>
      <family val="2"/>
      <scheme val="minor"/>
    </font>
    <font>
      <b/>
      <u/>
      <sz val="14"/>
      <color theme="2" tint="-0.89999084444715716"/>
      <name val="Calibri"/>
      <family val="2"/>
      <scheme val="minor"/>
    </font>
    <font>
      <b/>
      <sz val="11"/>
      <color theme="2" tint="-9.9978637043366805E-2"/>
      <name val="Arial"/>
      <family val="2"/>
    </font>
    <font>
      <sz val="11"/>
      <color theme="2" tint="-9.9978637043366805E-2"/>
      <name val="Arial"/>
      <family val="2"/>
    </font>
    <font>
      <b/>
      <sz val="14"/>
      <color theme="6" tint="-0.499984740745262"/>
      <name val="Calibri"/>
      <family val="2"/>
    </font>
    <font>
      <b/>
      <sz val="14"/>
      <name val="Calibri"/>
      <family val="2"/>
    </font>
    <font>
      <b/>
      <sz val="14"/>
      <name val="Calibri"/>
      <family val="2"/>
      <scheme val="minor"/>
    </font>
    <font>
      <u/>
      <sz val="11"/>
      <color rgb="FFFF0000"/>
      <name val="Arial"/>
      <family val="2"/>
    </font>
    <font>
      <sz val="12"/>
      <name val="Arial"/>
      <family val="2"/>
    </font>
    <font>
      <b/>
      <sz val="11"/>
      <color theme="0" tint="-4.9989318521683403E-2"/>
      <name val="Arial"/>
      <family val="2"/>
    </font>
    <font>
      <b/>
      <sz val="12"/>
      <name val="Arial"/>
      <family val="2"/>
    </font>
    <font>
      <b/>
      <sz val="14"/>
      <name val="Arial"/>
      <family val="2"/>
    </font>
    <font>
      <b/>
      <u/>
      <sz val="12"/>
      <color theme="2" tint="-0.89999084444715716"/>
      <name val="Calibri"/>
      <family val="2"/>
      <scheme val="minor"/>
    </font>
    <font>
      <sz val="14"/>
      <color theme="6" tint="-0.499984740745262"/>
      <name val="Arial"/>
      <family val="2"/>
    </font>
    <font>
      <b/>
      <u/>
      <sz val="14"/>
      <name val="Calibri"/>
      <family val="2"/>
      <scheme val="minor"/>
    </font>
    <font>
      <i/>
      <sz val="11"/>
      <color rgb="FFC00000"/>
      <name val="Arial"/>
      <family val="2"/>
    </font>
    <font>
      <b/>
      <sz val="11"/>
      <color rgb="FFC00000"/>
      <name val="Arial"/>
      <family val="2"/>
    </font>
    <font>
      <sz val="11"/>
      <color rgb="FFFF0000"/>
      <name val="Calibri"/>
      <family val="2"/>
      <scheme val="minor"/>
    </font>
    <font>
      <b/>
      <sz val="8"/>
      <name val="Arial"/>
      <family val="2"/>
    </font>
    <font>
      <b/>
      <i/>
      <sz val="8"/>
      <name val="Arial"/>
      <family val="2"/>
    </font>
    <font>
      <i/>
      <sz val="8"/>
      <name val="Arial"/>
      <family val="2"/>
    </font>
    <font>
      <b/>
      <u/>
      <sz val="8"/>
      <name val="Arial"/>
      <family val="2"/>
    </font>
    <font>
      <i/>
      <sz val="9"/>
      <name val="Arial"/>
      <family val="2"/>
    </font>
    <font>
      <sz val="10.5"/>
      <name val="Arial"/>
      <family val="2"/>
    </font>
    <font>
      <b/>
      <sz val="10"/>
      <name val="Arial"/>
      <family val="2"/>
    </font>
    <font>
      <b/>
      <sz val="10"/>
      <color rgb="FFFF0000"/>
      <name val="Arial"/>
      <family val="2"/>
    </font>
    <font>
      <u/>
      <sz val="10"/>
      <name val="Arial"/>
      <family val="2"/>
    </font>
    <font>
      <b/>
      <sz val="12"/>
      <color theme="1"/>
      <name val="Calibri"/>
      <family val="2"/>
      <scheme val="minor"/>
    </font>
    <font>
      <i/>
      <sz val="11"/>
      <color theme="1"/>
      <name val="Calibri"/>
      <family val="2"/>
      <scheme val="minor"/>
    </font>
    <font>
      <sz val="10"/>
      <color theme="10"/>
      <name val="Arial"/>
      <family val="2"/>
    </font>
  </fonts>
  <fills count="3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FFFF66"/>
        <bgColor indexed="64"/>
      </patternFill>
    </fill>
    <fill>
      <patternFill patternType="solid">
        <fgColor theme="5" tint="-0.249977111117893"/>
        <bgColor indexed="64"/>
      </patternFill>
    </fill>
    <fill>
      <patternFill patternType="solid">
        <fgColor rgb="FFFFFF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gray0625">
        <fgColor theme="0" tint="-4.9989318521683403E-2"/>
        <bgColor theme="0" tint="-4.9989318521683403E-2"/>
      </patternFill>
    </fill>
    <fill>
      <patternFill patternType="gray0625">
        <fgColor theme="0" tint="-4.9989318521683403E-2"/>
        <bgColor theme="5" tint="0.59999389629810485"/>
      </patternFill>
    </fill>
    <fill>
      <patternFill patternType="solid">
        <fgColor rgb="FFFFFF8B"/>
        <bgColor indexed="64"/>
      </patternFill>
    </fill>
    <fill>
      <patternFill patternType="solid">
        <fgColor theme="6" tint="0.79998168889431442"/>
        <bgColor indexed="64"/>
      </patternFill>
    </fill>
    <fill>
      <patternFill patternType="solid">
        <fgColor theme="5" tint="0.39994506668294322"/>
        <bgColor theme="0" tint="-0.34998626667073579"/>
      </patternFill>
    </fill>
    <fill>
      <patternFill patternType="solid">
        <fgColor theme="5" tint="-0.499984740745262"/>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theme="9" tint="0.39997558519241921"/>
        <bgColor indexed="64"/>
      </patternFill>
    </fill>
    <fill>
      <patternFill patternType="gray0625">
        <fgColor theme="0" tint="-4.9989318521683403E-2"/>
        <bgColor theme="0"/>
      </patternFill>
    </fill>
    <fill>
      <patternFill patternType="solid">
        <fgColor theme="3" tint="0.79998168889431442"/>
        <bgColor indexed="64"/>
      </patternFill>
    </fill>
    <fill>
      <patternFill patternType="solid">
        <fgColor theme="0" tint="-0.249977111117893"/>
        <bgColor theme="0" tint="-0.24994659260841701"/>
      </patternFill>
    </fill>
    <fill>
      <patternFill patternType="solid">
        <fgColor theme="0" tint="-0.249977111117893"/>
        <bgColor theme="0" tint="-0.34998626667073579"/>
      </patternFill>
    </fill>
    <fill>
      <patternFill patternType="solid">
        <fgColor rgb="FFFFFF00"/>
        <bgColor indexed="64"/>
      </patternFill>
    </fill>
    <fill>
      <patternFill patternType="solid">
        <fgColor rgb="FF00B050"/>
        <bgColor indexed="64"/>
      </patternFill>
    </fill>
  </fills>
  <borders count="69">
    <border>
      <left/>
      <right/>
      <top/>
      <bottom/>
      <diagonal/>
    </border>
    <border>
      <left/>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medium">
        <color auto="1"/>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style="double">
        <color auto="1"/>
      </left>
      <right style="thin">
        <color auto="1"/>
      </right>
      <top style="double">
        <color auto="1"/>
      </top>
      <bottom style="double">
        <color auto="1"/>
      </bottom>
      <diagonal/>
    </border>
    <border>
      <left/>
      <right/>
      <top/>
      <bottom style="hair">
        <color auto="1"/>
      </bottom>
      <diagonal/>
    </border>
    <border>
      <left/>
      <right/>
      <top style="hair">
        <color auto="1"/>
      </top>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hair">
        <color auto="1"/>
      </bottom>
      <diagonal/>
    </border>
    <border>
      <left/>
      <right style="medium">
        <color auto="1"/>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right style="thin">
        <color auto="1"/>
      </right>
      <top style="double">
        <color auto="1"/>
      </top>
      <bottom/>
      <diagonal/>
    </border>
    <border>
      <left/>
      <right style="thin">
        <color auto="1"/>
      </right>
      <top style="medium">
        <color auto="1"/>
      </top>
      <bottom/>
      <diagonal/>
    </border>
    <border>
      <left style="double">
        <color auto="1"/>
      </left>
      <right style="double">
        <color auto="1"/>
      </right>
      <top style="double">
        <color auto="1"/>
      </top>
      <bottom style="thin">
        <color auto="1"/>
      </bottom>
      <diagonal/>
    </border>
    <border>
      <left style="hair">
        <color auto="1"/>
      </left>
      <right/>
      <top style="hair">
        <color auto="1"/>
      </top>
      <bottom style="thin">
        <color auto="1"/>
      </bottom>
      <diagonal/>
    </border>
    <border>
      <left style="thin">
        <color auto="1"/>
      </left>
      <right style="double">
        <color auto="1"/>
      </right>
      <top style="double">
        <color auto="1"/>
      </top>
      <bottom style="double">
        <color auto="1"/>
      </bottom>
      <diagonal/>
    </border>
    <border>
      <left style="thin">
        <color auto="1"/>
      </left>
      <right style="double">
        <color auto="1"/>
      </right>
      <top style="double">
        <color auto="1"/>
      </top>
      <bottom style="thin">
        <color auto="1"/>
      </bottom>
      <diagonal/>
    </border>
    <border>
      <left/>
      <right style="medium">
        <color auto="1"/>
      </right>
      <top style="hair">
        <color auto="1"/>
      </top>
      <bottom/>
      <diagonal/>
    </border>
    <border>
      <left style="dotted">
        <color auto="1"/>
      </left>
      <right style="thin">
        <color auto="1"/>
      </right>
      <top/>
      <bottom/>
      <diagonal/>
    </border>
    <border>
      <left/>
      <right style="hair">
        <color auto="1"/>
      </right>
      <top style="hair">
        <color auto="1"/>
      </top>
      <bottom style="hair">
        <color auto="1"/>
      </bottom>
      <diagonal/>
    </border>
    <border>
      <left style="medium">
        <color auto="1"/>
      </left>
      <right style="hair">
        <color auto="1"/>
      </right>
      <top style="thin">
        <color auto="1"/>
      </top>
      <bottom style="medium">
        <color auto="1"/>
      </bottom>
      <diagonal/>
    </border>
    <border>
      <left style="dotted">
        <color auto="1"/>
      </left>
      <right style="thin">
        <color auto="1"/>
      </right>
      <top style="hair">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thin">
        <color auto="1"/>
      </top>
      <bottom style="thin">
        <color auto="1"/>
      </bottom>
      <diagonal/>
    </border>
    <border>
      <left/>
      <right style="thin">
        <color auto="1"/>
      </right>
      <top/>
      <bottom style="medium">
        <color indexed="64"/>
      </bottom>
      <diagonal/>
    </border>
    <border>
      <left style="medium">
        <color auto="1"/>
      </left>
      <right style="thin">
        <color auto="1"/>
      </right>
      <top style="thin">
        <color auto="1"/>
      </top>
      <bottom style="thin">
        <color auto="1"/>
      </bottom>
      <diagonal/>
    </border>
    <border>
      <left/>
      <right style="medium">
        <color auto="1"/>
      </right>
      <top/>
      <bottom style="thin">
        <color indexed="64"/>
      </bottom>
      <diagonal/>
    </border>
    <border>
      <left/>
      <right style="medium">
        <color auto="1"/>
      </right>
      <top style="thin">
        <color auto="1"/>
      </top>
      <bottom style="thin">
        <color indexed="64"/>
      </bottom>
      <diagonal/>
    </border>
    <border>
      <left/>
      <right style="medium">
        <color auto="1"/>
      </right>
      <top style="hair">
        <color auto="1"/>
      </top>
      <bottom style="thin">
        <color indexed="64"/>
      </bottom>
      <diagonal/>
    </border>
    <border>
      <left/>
      <right style="double">
        <color auto="1"/>
      </right>
      <top/>
      <bottom style="thin">
        <color indexed="64"/>
      </bottom>
      <diagonal/>
    </border>
    <border>
      <left/>
      <right style="hair">
        <color auto="1"/>
      </right>
      <top/>
      <bottom style="hair">
        <color auto="1"/>
      </bottom>
      <diagonal/>
    </border>
    <border diagonalUp="1">
      <left/>
      <right/>
      <top style="thin">
        <color auto="1"/>
      </top>
      <bottom/>
      <diagonal style="thin">
        <color auto="1"/>
      </diagonal>
    </border>
    <border diagonalUp="1">
      <left/>
      <right/>
      <top/>
      <bottom/>
      <diagonal style="thin">
        <color auto="1"/>
      </diagonal>
    </border>
    <border diagonalUp="1">
      <left/>
      <right/>
      <top/>
      <bottom style="hair">
        <color auto="1"/>
      </bottom>
      <diagonal style="thin">
        <color auto="1"/>
      </diagonal>
    </border>
    <border diagonalUp="1">
      <left/>
      <right/>
      <top/>
      <bottom style="hair">
        <color auto="1"/>
      </bottom>
      <diagonal style="hair">
        <color auto="1"/>
      </diagonal>
    </border>
    <border diagonalUp="1">
      <left/>
      <right/>
      <top/>
      <bottom/>
      <diagonal style="hair">
        <color auto="1"/>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hair">
        <color auto="1"/>
      </bottom>
      <diagonal style="thin">
        <color auto="1"/>
      </diagonal>
    </border>
    <border>
      <left style="thin">
        <color auto="1"/>
      </left>
      <right style="double">
        <color auto="1"/>
      </right>
      <top/>
      <bottom style="double">
        <color auto="1"/>
      </bottom>
      <diagonal/>
    </border>
    <border>
      <left/>
      <right style="thin">
        <color auto="1"/>
      </right>
      <top/>
      <bottom style="double">
        <color auto="1"/>
      </bottom>
      <diagonal/>
    </border>
    <border>
      <left style="double">
        <color auto="1"/>
      </left>
      <right style="double">
        <color auto="1"/>
      </right>
      <top/>
      <bottom style="double">
        <color auto="1"/>
      </bottom>
      <diagonal/>
    </border>
  </borders>
  <cellStyleXfs count="85">
    <xf numFmtId="0" fontId="0" fillId="0" borderId="0"/>
    <xf numFmtId="44" fontId="16" fillId="0" borderId="0" applyFont="0" applyFill="0" applyBorder="0" applyAlignment="0" applyProtection="0"/>
    <xf numFmtId="9" fontId="16"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0" fontId="15" fillId="0" borderId="0"/>
    <xf numFmtId="44" fontId="18"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43" fontId="21" fillId="0" borderId="0" applyFont="0" applyFill="0" applyBorder="0" applyAlignment="0" applyProtection="0"/>
    <xf numFmtId="0" fontId="29" fillId="0" borderId="0" applyNumberFormat="0" applyFill="0" applyBorder="0" applyAlignment="0" applyProtection="0"/>
    <xf numFmtId="43" fontId="16" fillId="0" borderId="0" applyFont="0" applyFill="0" applyBorder="0" applyAlignment="0" applyProtection="0"/>
    <xf numFmtId="0" fontId="16" fillId="0" borderId="0"/>
    <xf numFmtId="0" fontId="19" fillId="0" borderId="0" applyNumberForma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0" fontId="14" fillId="0" borderId="0"/>
    <xf numFmtId="0" fontId="14" fillId="0" borderId="0"/>
    <xf numFmtId="9" fontId="16" fillId="0" borderId="0" applyFont="0" applyFill="0" applyBorder="0" applyAlignment="0" applyProtection="0"/>
    <xf numFmtId="0" fontId="13" fillId="0" borderId="0"/>
    <xf numFmtId="9" fontId="13" fillId="0" borderId="0" applyFont="0" applyFill="0" applyBorder="0" applyAlignment="0" applyProtection="0"/>
    <xf numFmtId="43" fontId="13" fillId="0" borderId="0" applyFont="0" applyFill="0" applyBorder="0" applyAlignment="0" applyProtection="0"/>
    <xf numFmtId="0" fontId="34" fillId="0" borderId="0" applyNumberFormat="0" applyFill="0" applyBorder="0" applyAlignment="0" applyProtection="0"/>
    <xf numFmtId="0" fontId="12"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9" fillId="0" borderId="0"/>
    <xf numFmtId="0" fontId="9" fillId="0" borderId="0"/>
    <xf numFmtId="0" fontId="9" fillId="0" borderId="0"/>
    <xf numFmtId="0" fontId="6" fillId="0" borderId="0"/>
    <xf numFmtId="9" fontId="6"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1610">
    <xf numFmtId="0" fontId="0" fillId="0" borderId="0" xfId="0"/>
    <xf numFmtId="0" fontId="23" fillId="0" borderId="0" xfId="0" applyFont="1" applyAlignment="1">
      <alignment horizontal="center"/>
    </xf>
    <xf numFmtId="0" fontId="22" fillId="0" borderId="0" xfId="0" applyFont="1" applyAlignment="1">
      <alignment horizontal="center"/>
    </xf>
    <xf numFmtId="0" fontId="23" fillId="0" borderId="0" xfId="0" applyFont="1" applyAlignment="1">
      <alignment horizontal="left"/>
    </xf>
    <xf numFmtId="165" fontId="23" fillId="0" borderId="0" xfId="0" applyNumberFormat="1" applyFont="1" applyAlignment="1">
      <alignment horizontal="center"/>
    </xf>
    <xf numFmtId="0" fontId="23" fillId="0" borderId="0" xfId="0" applyFont="1" applyAlignment="1">
      <alignment horizontal="left" vertical="top"/>
    </xf>
    <xf numFmtId="0" fontId="23" fillId="0" borderId="0" xfId="0" applyFont="1" applyAlignment="1">
      <alignment vertical="top" wrapText="1"/>
    </xf>
    <xf numFmtId="0" fontId="23" fillId="0" borderId="0" xfId="0" applyFont="1" applyBorder="1" applyAlignment="1">
      <alignment vertical="top" wrapText="1"/>
    </xf>
    <xf numFmtId="0" fontId="23" fillId="0" borderId="0" xfId="0" applyFont="1" applyAlignment="1">
      <alignment vertical="top"/>
    </xf>
    <xf numFmtId="0" fontId="23" fillId="0" borderId="0" xfId="0" applyFont="1" applyBorder="1" applyAlignment="1">
      <alignment horizontal="center"/>
    </xf>
    <xf numFmtId="0" fontId="22" fillId="0" borderId="0" xfId="0" applyFont="1" applyBorder="1" applyAlignment="1">
      <alignment horizontal="center"/>
    </xf>
    <xf numFmtId="0" fontId="23" fillId="2" borderId="0" xfId="0" applyFont="1" applyFill="1" applyBorder="1" applyAlignment="1">
      <alignment horizontal="center"/>
    </xf>
    <xf numFmtId="164" fontId="23" fillId="0" borderId="0" xfId="0" applyNumberFormat="1" applyFont="1" applyAlignment="1">
      <alignment horizontal="right" vertical="top" wrapText="1"/>
    </xf>
    <xf numFmtId="0" fontId="23" fillId="0" borderId="0" xfId="0" applyFont="1" applyFill="1" applyAlignment="1">
      <alignment horizontal="center"/>
    </xf>
    <xf numFmtId="165" fontId="23" fillId="0" borderId="0" xfId="0" applyNumberFormat="1" applyFont="1" applyFill="1" applyAlignment="1">
      <alignment horizontal="center"/>
    </xf>
    <xf numFmtId="0" fontId="23" fillId="5" borderId="0" xfId="0" applyFont="1" applyFill="1" applyAlignment="1">
      <alignment horizontal="center"/>
    </xf>
    <xf numFmtId="165" fontId="23" fillId="0" borderId="0" xfId="9" applyNumberFormat="1" applyFont="1" applyAlignment="1">
      <alignment horizontal="left"/>
    </xf>
    <xf numFmtId="0" fontId="36" fillId="9" borderId="1" xfId="0" applyFont="1" applyFill="1" applyBorder="1" applyAlignment="1" applyProtection="1">
      <alignment horizontal="left"/>
    </xf>
    <xf numFmtId="0" fontId="37" fillId="9" borderId="1" xfId="0" applyFont="1" applyFill="1" applyBorder="1" applyAlignment="1" applyProtection="1"/>
    <xf numFmtId="0" fontId="22" fillId="0" borderId="0" xfId="0" applyFont="1" applyFill="1" applyBorder="1" applyAlignment="1" applyProtection="1">
      <alignment horizontal="center"/>
    </xf>
    <xf numFmtId="0" fontId="22" fillId="2" borderId="0" xfId="0" applyFont="1" applyFill="1" applyBorder="1" applyAlignment="1" applyProtection="1">
      <alignment horizontal="left"/>
    </xf>
    <xf numFmtId="0" fontId="23" fillId="0" borderId="0" xfId="0" applyFont="1" applyFill="1" applyBorder="1" applyAlignment="1" applyProtection="1">
      <alignment horizontal="left" vertical="top"/>
    </xf>
    <xf numFmtId="165" fontId="23" fillId="0" borderId="0" xfId="9" applyNumberFormat="1" applyFont="1" applyBorder="1" applyAlignment="1" applyProtection="1">
      <alignment horizontal="right" vertical="top"/>
    </xf>
    <xf numFmtId="0" fontId="23" fillId="0" borderId="0" xfId="0" applyFont="1" applyFill="1" applyAlignment="1" applyProtection="1">
      <alignment horizontal="center"/>
    </xf>
    <xf numFmtId="0" fontId="23" fillId="5" borderId="0" xfId="0" applyFont="1" applyFill="1" applyAlignment="1" applyProtection="1">
      <alignment horizontal="center"/>
    </xf>
    <xf numFmtId="165" fontId="23" fillId="0" borderId="0" xfId="9" applyNumberFormat="1" applyFont="1" applyFill="1" applyBorder="1" applyAlignment="1" applyProtection="1">
      <alignment horizontal="right" vertical="top"/>
    </xf>
    <xf numFmtId="0" fontId="46" fillId="0" borderId="0" xfId="19" applyFont="1" applyAlignment="1">
      <alignment horizontal="center"/>
    </xf>
    <xf numFmtId="0" fontId="13" fillId="0" borderId="0" xfId="19" applyFont="1"/>
    <xf numFmtId="0" fontId="48" fillId="0" borderId="0" xfId="19" applyFont="1" applyAlignment="1">
      <alignment horizontal="center"/>
    </xf>
    <xf numFmtId="0" fontId="41" fillId="0" borderId="0" xfId="19" applyFont="1"/>
    <xf numFmtId="0" fontId="46" fillId="0" borderId="0" xfId="19" applyFont="1" applyFill="1" applyAlignment="1">
      <alignment horizontal="center"/>
    </xf>
    <xf numFmtId="0" fontId="46" fillId="0" borderId="0" xfId="0" quotePrefix="1" applyFont="1"/>
    <xf numFmtId="0" fontId="50" fillId="0" borderId="0" xfId="0" quotePrefix="1" applyFont="1"/>
    <xf numFmtId="0" fontId="51" fillId="0" borderId="0" xfId="0" applyFont="1" applyAlignment="1">
      <alignment horizontal="left" vertical="top"/>
    </xf>
    <xf numFmtId="0" fontId="13" fillId="0" borderId="0" xfId="19" applyFont="1" applyFill="1"/>
    <xf numFmtId="0" fontId="46" fillId="0" borderId="0" xfId="19" applyFont="1" applyFill="1" applyBorder="1" applyAlignment="1">
      <alignment horizontal="center"/>
    </xf>
    <xf numFmtId="0" fontId="23" fillId="2" borderId="0" xfId="0" applyFont="1" applyFill="1" applyAlignment="1" applyProtection="1">
      <alignment horizontal="center"/>
    </xf>
    <xf numFmtId="0" fontId="22" fillId="0" borderId="0" xfId="0" applyFont="1" applyBorder="1" applyAlignment="1" applyProtection="1">
      <alignment horizontal="left"/>
    </xf>
    <xf numFmtId="0" fontId="25" fillId="0" borderId="0" xfId="0" applyFont="1" applyBorder="1" applyAlignment="1" applyProtection="1">
      <alignment horizontal="left" vertical="top"/>
    </xf>
    <xf numFmtId="0" fontId="23" fillId="0" borderId="0" xfId="0" applyFont="1" applyBorder="1" applyAlignment="1" applyProtection="1">
      <alignment horizontal="right" vertical="top"/>
    </xf>
    <xf numFmtId="43" fontId="23" fillId="0" borderId="0" xfId="9" applyFont="1" applyBorder="1" applyAlignment="1" applyProtection="1">
      <alignment horizontal="right" vertical="top"/>
    </xf>
    <xf numFmtId="10" fontId="23" fillId="0" borderId="0" xfId="2" applyNumberFormat="1" applyFont="1" applyBorder="1" applyAlignment="1" applyProtection="1">
      <alignment horizontal="right" vertical="top"/>
    </xf>
    <xf numFmtId="165" fontId="23" fillId="0" borderId="4" xfId="9" applyNumberFormat="1" applyFont="1" applyBorder="1" applyAlignment="1" applyProtection="1">
      <alignment vertical="top"/>
    </xf>
    <xf numFmtId="165" fontId="22" fillId="0" borderId="4" xfId="9" applyNumberFormat="1" applyFont="1" applyBorder="1" applyAlignment="1" applyProtection="1">
      <alignment horizontal="right" vertical="top"/>
    </xf>
    <xf numFmtId="165" fontId="22" fillId="0" borderId="4" xfId="9" applyNumberFormat="1" applyFont="1" applyBorder="1" applyAlignment="1" applyProtection="1">
      <alignment vertical="top"/>
    </xf>
    <xf numFmtId="165" fontId="23" fillId="0" borderId="0" xfId="9" applyNumberFormat="1" applyFont="1" applyFill="1" applyBorder="1" applyAlignment="1" applyProtection="1">
      <alignment horizontal="right" vertical="top" wrapText="1"/>
    </xf>
    <xf numFmtId="165" fontId="23" fillId="11" borderId="0" xfId="9" applyNumberFormat="1" applyFont="1" applyFill="1" applyBorder="1" applyAlignment="1" applyProtection="1">
      <alignment horizontal="right" vertical="top"/>
    </xf>
    <xf numFmtId="166" fontId="23" fillId="0" borderId="0" xfId="2" applyNumberFormat="1" applyFont="1" applyBorder="1" applyAlignment="1" applyProtection="1">
      <alignment horizontal="right" vertical="top"/>
    </xf>
    <xf numFmtId="165" fontId="23" fillId="0" borderId="0" xfId="0" applyNumberFormat="1" applyFont="1" applyBorder="1" applyAlignment="1">
      <alignment horizontal="center"/>
    </xf>
    <xf numFmtId="0" fontId="23" fillId="0" borderId="1" xfId="0" applyFont="1" applyBorder="1" applyAlignment="1">
      <alignment horizontal="center"/>
    </xf>
    <xf numFmtId="165" fontId="23" fillId="0" borderId="1" xfId="0" applyNumberFormat="1" applyFont="1" applyBorder="1" applyAlignment="1">
      <alignment horizontal="center"/>
    </xf>
    <xf numFmtId="0" fontId="23" fillId="0" borderId="16" xfId="0" applyFont="1" applyFill="1" applyBorder="1" applyAlignment="1" applyProtection="1">
      <alignment horizontal="right" vertical="top" wrapText="1"/>
    </xf>
    <xf numFmtId="165" fontId="23" fillId="0" borderId="16" xfId="9" applyNumberFormat="1" applyFont="1" applyBorder="1" applyAlignment="1" applyProtection="1">
      <alignment horizontal="right" vertical="top"/>
    </xf>
    <xf numFmtId="0" fontId="23" fillId="5" borderId="0" xfId="0" applyFont="1" applyFill="1" applyAlignment="1">
      <alignment horizontal="left" vertical="top"/>
    </xf>
    <xf numFmtId="0" fontId="55" fillId="0" borderId="0" xfId="19" applyFont="1" applyFill="1" applyAlignment="1">
      <alignment horizontal="left"/>
    </xf>
    <xf numFmtId="165" fontId="23" fillId="0" borderId="0" xfId="14" applyNumberFormat="1" applyFont="1" applyAlignment="1">
      <alignment vertical="top" wrapText="1"/>
    </xf>
    <xf numFmtId="0" fontId="23" fillId="2" borderId="0" xfId="0" applyFont="1" applyFill="1" applyAlignment="1">
      <alignment horizontal="center"/>
    </xf>
    <xf numFmtId="0" fontId="23" fillId="0" borderId="0" xfId="0" applyFont="1" applyFill="1" applyBorder="1" applyAlignment="1" applyProtection="1">
      <alignment horizontal="center"/>
    </xf>
    <xf numFmtId="0" fontId="23" fillId="0" borderId="0" xfId="0" applyFont="1" applyFill="1" applyBorder="1" applyAlignment="1" applyProtection="1">
      <alignment vertical="top"/>
    </xf>
    <xf numFmtId="0" fontId="23" fillId="2" borderId="0" xfId="0" applyFont="1" applyFill="1" applyBorder="1" applyAlignment="1" applyProtection="1">
      <alignment horizontal="center"/>
    </xf>
    <xf numFmtId="0" fontId="23" fillId="2" borderId="0" xfId="0" applyFont="1" applyFill="1" applyBorder="1" applyAlignment="1" applyProtection="1">
      <alignment horizontal="left"/>
    </xf>
    <xf numFmtId="0" fontId="22" fillId="0" borderId="0" xfId="0" applyFont="1" applyFill="1" applyAlignment="1">
      <alignment horizontal="center"/>
    </xf>
    <xf numFmtId="0" fontId="23" fillId="0" borderId="0" xfId="0" applyFont="1" applyFill="1" applyAlignment="1">
      <alignment vertical="top" wrapText="1"/>
    </xf>
    <xf numFmtId="0" fontId="23" fillId="0" borderId="0" xfId="0" applyFont="1" applyFill="1" applyBorder="1" applyAlignment="1">
      <alignment horizontal="center"/>
    </xf>
    <xf numFmtId="0" fontId="22" fillId="0" borderId="0" xfId="0" applyFont="1" applyFill="1" applyBorder="1" applyAlignment="1">
      <alignment horizontal="center"/>
    </xf>
    <xf numFmtId="0" fontId="23" fillId="19" borderId="0" xfId="0" applyFont="1" applyFill="1" applyAlignment="1">
      <alignment horizontal="left"/>
    </xf>
    <xf numFmtId="0" fontId="23" fillId="19" borderId="0" xfId="0" applyFont="1" applyFill="1" applyAlignment="1">
      <alignment vertical="top" wrapText="1"/>
    </xf>
    <xf numFmtId="0" fontId="23" fillId="2" borderId="0" xfId="0" applyFont="1" applyFill="1" applyAlignment="1" applyProtection="1">
      <alignment horizontal="left"/>
    </xf>
    <xf numFmtId="0" fontId="23" fillId="18" borderId="0" xfId="0" applyFont="1" applyFill="1" applyAlignment="1" applyProtection="1">
      <alignment horizontal="center"/>
    </xf>
    <xf numFmtId="0" fontId="23" fillId="18" borderId="0" xfId="0" applyFont="1" applyFill="1" applyAlignment="1" applyProtection="1">
      <alignment horizontal="left"/>
    </xf>
    <xf numFmtId="0" fontId="23" fillId="19" borderId="0" xfId="0" applyFont="1" applyFill="1" applyAlignment="1" applyProtection="1">
      <alignment horizontal="left"/>
    </xf>
    <xf numFmtId="0" fontId="23" fillId="19" borderId="0" xfId="0" applyFont="1" applyFill="1" applyAlignment="1" applyProtection="1">
      <alignment horizontal="center"/>
    </xf>
    <xf numFmtId="0" fontId="25" fillId="19" borderId="0" xfId="0" applyFont="1" applyFill="1" applyBorder="1" applyAlignment="1" applyProtection="1">
      <alignment horizontal="center"/>
    </xf>
    <xf numFmtId="165" fontId="25" fillId="19" borderId="0" xfId="9" applyNumberFormat="1" applyFont="1" applyFill="1" applyBorder="1" applyAlignment="1" applyProtection="1">
      <alignment horizontal="center"/>
    </xf>
    <xf numFmtId="0" fontId="23" fillId="19" borderId="0" xfId="0" applyFont="1" applyFill="1" applyBorder="1" applyAlignment="1" applyProtection="1">
      <alignment horizontal="center"/>
    </xf>
    <xf numFmtId="165" fontId="23" fillId="19" borderId="0" xfId="9" applyNumberFormat="1" applyFont="1" applyFill="1" applyBorder="1" applyAlignment="1" applyProtection="1">
      <alignment horizontal="center"/>
    </xf>
    <xf numFmtId="0" fontId="23" fillId="19" borderId="0" xfId="0" applyFont="1" applyFill="1" applyAlignment="1">
      <alignment horizontal="center"/>
    </xf>
    <xf numFmtId="0" fontId="25" fillId="19" borderId="10" xfId="0" applyFont="1" applyFill="1" applyBorder="1" applyAlignment="1" applyProtection="1">
      <alignment horizontal="left" vertical="top"/>
    </xf>
    <xf numFmtId="0" fontId="23" fillId="19" borderId="11" xfId="0" applyFont="1" applyFill="1" applyBorder="1" applyAlignment="1" applyProtection="1">
      <alignment horizontal="center"/>
    </xf>
    <xf numFmtId="0" fontId="25" fillId="19" borderId="0" xfId="0" applyFont="1" applyFill="1" applyAlignment="1" applyProtection="1">
      <alignment horizontal="left"/>
    </xf>
    <xf numFmtId="0" fontId="25" fillId="19" borderId="0" xfId="0" applyFont="1" applyFill="1" applyAlignment="1" applyProtection="1">
      <alignment horizontal="center"/>
    </xf>
    <xf numFmtId="0" fontId="25" fillId="19" borderId="0" xfId="0" applyFont="1" applyFill="1" applyAlignment="1">
      <alignment horizontal="center"/>
    </xf>
    <xf numFmtId="0" fontId="23" fillId="19" borderId="3" xfId="0" applyFont="1" applyFill="1" applyBorder="1" applyAlignment="1" applyProtection="1">
      <alignment horizontal="center"/>
    </xf>
    <xf numFmtId="0" fontId="23" fillId="19" borderId="4" xfId="0" applyFont="1" applyFill="1" applyBorder="1" applyAlignment="1" applyProtection="1">
      <alignment horizontal="center"/>
    </xf>
    <xf numFmtId="0" fontId="23" fillId="19" borderId="0" xfId="0" applyFont="1" applyFill="1" applyAlignment="1" applyProtection="1">
      <alignment horizontal="right"/>
    </xf>
    <xf numFmtId="0" fontId="23" fillId="19" borderId="5" xfId="0" applyFont="1" applyFill="1" applyBorder="1" applyAlignment="1" applyProtection="1">
      <alignment horizontal="center"/>
    </xf>
    <xf numFmtId="0" fontId="23" fillId="19" borderId="6" xfId="0" applyFont="1" applyFill="1" applyBorder="1" applyAlignment="1" applyProtection="1">
      <alignment horizontal="center"/>
    </xf>
    <xf numFmtId="165" fontId="23" fillId="19" borderId="0" xfId="9" applyNumberFormat="1" applyFont="1" applyFill="1" applyAlignment="1" applyProtection="1">
      <alignment horizontal="left"/>
    </xf>
    <xf numFmtId="165" fontId="22" fillId="19" borderId="0" xfId="9" applyNumberFormat="1" applyFont="1" applyFill="1" applyBorder="1" applyAlignment="1" applyProtection="1">
      <alignment horizontal="center"/>
    </xf>
    <xf numFmtId="0" fontId="22" fillId="19" borderId="0" xfId="0" applyFont="1" applyFill="1" applyBorder="1" applyAlignment="1" applyProtection="1">
      <alignment horizontal="right"/>
    </xf>
    <xf numFmtId="0" fontId="23" fillId="0" borderId="0" xfId="0" applyFont="1" applyFill="1" applyAlignment="1" applyProtection="1">
      <alignment vertical="top"/>
    </xf>
    <xf numFmtId="0" fontId="25" fillId="0" borderId="0" xfId="0" applyFont="1" applyBorder="1" applyAlignment="1" applyProtection="1">
      <alignment horizontal="left" vertical="center"/>
    </xf>
    <xf numFmtId="0" fontId="25" fillId="0" borderId="0" xfId="0" applyFont="1" applyBorder="1" applyAlignment="1" applyProtection="1">
      <alignment vertical="center"/>
    </xf>
    <xf numFmtId="0" fontId="22" fillId="0" borderId="2" xfId="0" applyFont="1" applyBorder="1" applyAlignment="1" applyProtection="1">
      <alignment horizontal="left" vertical="top"/>
    </xf>
    <xf numFmtId="0" fontId="22" fillId="0" borderId="2" xfId="0" applyFont="1" applyBorder="1" applyAlignment="1" applyProtection="1">
      <alignment horizontal="left"/>
    </xf>
    <xf numFmtId="9" fontId="23" fillId="0" borderId="0" xfId="2" applyFont="1" applyAlignment="1">
      <alignment horizontal="center"/>
    </xf>
    <xf numFmtId="0" fontId="16" fillId="0" borderId="0" xfId="0" applyFont="1"/>
    <xf numFmtId="0" fontId="22" fillId="18" borderId="0" xfId="0" applyFont="1" applyFill="1" applyBorder="1" applyAlignment="1" applyProtection="1">
      <alignment horizontal="center"/>
    </xf>
    <xf numFmtId="0" fontId="23" fillId="2" borderId="0" xfId="0" applyFont="1" applyFill="1" applyAlignment="1" applyProtection="1">
      <alignment vertical="top"/>
    </xf>
    <xf numFmtId="0" fontId="22" fillId="2" borderId="0" xfId="0" applyFont="1" applyFill="1" applyBorder="1" applyAlignment="1" applyProtection="1">
      <alignment vertical="top"/>
    </xf>
    <xf numFmtId="9" fontId="65" fillId="0" borderId="1" xfId="2" applyFont="1" applyFill="1" applyBorder="1" applyAlignment="1">
      <alignment horizontal="center"/>
    </xf>
    <xf numFmtId="166" fontId="23" fillId="0" borderId="0" xfId="2" applyNumberFormat="1" applyFont="1" applyAlignment="1">
      <alignment horizontal="center"/>
    </xf>
    <xf numFmtId="165" fontId="23" fillId="2" borderId="0" xfId="9" applyNumberFormat="1" applyFont="1" applyFill="1" applyBorder="1" applyAlignment="1" applyProtection="1">
      <alignment horizontal="right" vertical="top"/>
    </xf>
    <xf numFmtId="165" fontId="23" fillId="22" borderId="18" xfId="9" applyNumberFormat="1" applyFont="1" applyFill="1" applyBorder="1" applyAlignment="1" applyProtection="1">
      <alignment horizontal="right" vertical="top"/>
    </xf>
    <xf numFmtId="0" fontId="23" fillId="2" borderId="0" xfId="0" applyFont="1" applyFill="1" applyBorder="1" applyAlignment="1" applyProtection="1">
      <alignment horizontal="left" vertical="top"/>
    </xf>
    <xf numFmtId="0" fontId="23" fillId="2" borderId="0" xfId="0" applyFont="1" applyFill="1" applyBorder="1" applyAlignment="1" applyProtection="1">
      <alignment horizontal="right" vertical="top" wrapText="1"/>
    </xf>
    <xf numFmtId="165" fontId="22" fillId="0" borderId="30" xfId="9" applyNumberFormat="1" applyFont="1" applyBorder="1" applyAlignment="1" applyProtection="1">
      <alignment horizontal="right" vertical="top"/>
    </xf>
    <xf numFmtId="165" fontId="22" fillId="0" borderId="31" xfId="9" applyNumberFormat="1" applyFont="1" applyBorder="1" applyAlignment="1" applyProtection="1">
      <alignment horizontal="right" vertical="top"/>
    </xf>
    <xf numFmtId="165" fontId="22" fillId="0" borderId="32" xfId="9" applyNumberFormat="1" applyFont="1" applyBorder="1" applyAlignment="1" applyProtection="1">
      <alignment horizontal="right" vertical="top"/>
    </xf>
    <xf numFmtId="165" fontId="22" fillId="0" borderId="6" xfId="9" applyNumberFormat="1" applyFont="1" applyBorder="1" applyAlignment="1" applyProtection="1">
      <alignment vertical="top"/>
    </xf>
    <xf numFmtId="165" fontId="23" fillId="0" borderId="34" xfId="9" applyNumberFormat="1" applyFont="1" applyBorder="1" applyAlignment="1" applyProtection="1">
      <alignment vertical="top"/>
    </xf>
    <xf numFmtId="0" fontId="23" fillId="2" borderId="4" xfId="0" applyFont="1" applyFill="1" applyBorder="1" applyAlignment="1">
      <alignment horizontal="center"/>
    </xf>
    <xf numFmtId="165" fontId="23" fillId="22" borderId="17" xfId="9" applyNumberFormat="1" applyFont="1" applyFill="1" applyBorder="1" applyAlignment="1" applyProtection="1">
      <alignment horizontal="right" vertical="top"/>
    </xf>
    <xf numFmtId="9" fontId="23" fillId="0" borderId="0" xfId="2" applyFont="1" applyFill="1" applyBorder="1" applyAlignment="1">
      <alignment horizontal="center"/>
    </xf>
    <xf numFmtId="9" fontId="23" fillId="0" borderId="0" xfId="0" applyNumberFormat="1" applyFont="1" applyFill="1" applyBorder="1" applyAlignment="1">
      <alignment horizontal="center"/>
    </xf>
    <xf numFmtId="1" fontId="23" fillId="2" borderId="0" xfId="0" applyNumberFormat="1" applyFont="1" applyFill="1" applyBorder="1" applyAlignment="1" applyProtection="1">
      <alignment horizontal="right"/>
    </xf>
    <xf numFmtId="0" fontId="22" fillId="0" borderId="3" xfId="0" applyFont="1" applyBorder="1" applyAlignment="1">
      <alignment horizontal="center"/>
    </xf>
    <xf numFmtId="165" fontId="23" fillId="0" borderId="19" xfId="9" applyNumberFormat="1" applyFont="1" applyBorder="1" applyAlignment="1" applyProtection="1">
      <alignment horizontal="right" vertical="top"/>
    </xf>
    <xf numFmtId="0" fontId="46" fillId="5" borderId="4" xfId="0" applyFont="1" applyFill="1" applyBorder="1" applyAlignment="1">
      <alignment horizontal="center" vertical="top" wrapText="1"/>
    </xf>
    <xf numFmtId="10" fontId="23" fillId="2" borderId="0" xfId="2" applyNumberFormat="1" applyFont="1" applyFill="1" applyBorder="1" applyAlignment="1">
      <alignment horizontal="center" vertical="center"/>
    </xf>
    <xf numFmtId="10" fontId="23" fillId="2" borderId="1" xfId="2" applyNumberFormat="1" applyFont="1" applyFill="1" applyBorder="1" applyAlignment="1">
      <alignment horizontal="center" vertical="center"/>
    </xf>
    <xf numFmtId="165" fontId="22" fillId="0" borderId="0" xfId="0" applyNumberFormat="1" applyFont="1" applyAlignment="1">
      <alignment horizontal="center"/>
    </xf>
    <xf numFmtId="165" fontId="23" fillId="22" borderId="20" xfId="9" applyNumberFormat="1" applyFont="1" applyFill="1" applyBorder="1" applyAlignment="1" applyProtection="1">
      <alignment horizontal="right" vertical="top"/>
    </xf>
    <xf numFmtId="9" fontId="23" fillId="2" borderId="0" xfId="2" applyFont="1" applyFill="1" applyBorder="1" applyAlignment="1">
      <alignment horizontal="center"/>
    </xf>
    <xf numFmtId="9" fontId="23" fillId="0" borderId="0" xfId="2" applyFont="1" applyBorder="1" applyAlignment="1">
      <alignment horizontal="center"/>
    </xf>
    <xf numFmtId="10" fontId="23" fillId="0" borderId="0" xfId="2" applyNumberFormat="1" applyFont="1" applyAlignment="1">
      <alignment horizontal="center"/>
    </xf>
    <xf numFmtId="0" fontId="23" fillId="0" borderId="0" xfId="0" applyFont="1" applyAlignment="1">
      <alignment horizontal="right"/>
    </xf>
    <xf numFmtId="0" fontId="23" fillId="0" borderId="0" xfId="0" applyFont="1" applyFill="1" applyAlignment="1">
      <alignment horizontal="right"/>
    </xf>
    <xf numFmtId="165" fontId="22" fillId="0" borderId="0" xfId="0" applyNumberFormat="1" applyFont="1" applyFill="1" applyAlignment="1">
      <alignment horizontal="center"/>
    </xf>
    <xf numFmtId="165" fontId="23" fillId="0" borderId="0" xfId="9" applyNumberFormat="1" applyFont="1" applyAlignment="1">
      <alignment horizontal="center"/>
    </xf>
    <xf numFmtId="0" fontId="25" fillId="18" borderId="7" xfId="0" applyFont="1" applyFill="1" applyBorder="1" applyAlignment="1" applyProtection="1">
      <alignment horizontal="left"/>
    </xf>
    <xf numFmtId="166" fontId="23" fillId="18" borderId="8" xfId="2" applyNumberFormat="1" applyFont="1" applyFill="1" applyBorder="1" applyAlignment="1" applyProtection="1">
      <alignment horizontal="left"/>
    </xf>
    <xf numFmtId="166" fontId="23" fillId="18" borderId="9" xfId="2" applyNumberFormat="1" applyFont="1" applyFill="1" applyBorder="1" applyAlignment="1" applyProtection="1">
      <alignment horizontal="left"/>
    </xf>
    <xf numFmtId="0" fontId="44" fillId="5" borderId="0" xfId="0" applyFont="1" applyFill="1" applyBorder="1" applyAlignment="1">
      <alignment horizontal="center"/>
    </xf>
    <xf numFmtId="165" fontId="23" fillId="15" borderId="0" xfId="0" applyNumberFormat="1" applyFont="1" applyFill="1" applyAlignment="1">
      <alignment horizontal="center"/>
    </xf>
    <xf numFmtId="165" fontId="22" fillId="0" borderId="0" xfId="0" applyNumberFormat="1" applyFont="1" applyBorder="1" applyAlignment="1">
      <alignment horizontal="center"/>
    </xf>
    <xf numFmtId="9" fontId="44" fillId="0" borderId="0" xfId="2" applyFont="1" applyFill="1" applyBorder="1" applyAlignment="1">
      <alignment horizontal="center" vertical="center"/>
    </xf>
    <xf numFmtId="165" fontId="23" fillId="0" borderId="0" xfId="2" applyNumberFormat="1" applyFont="1" applyFill="1" applyBorder="1" applyAlignment="1">
      <alignment horizontal="center"/>
    </xf>
    <xf numFmtId="9" fontId="67" fillId="0" borderId="1" xfId="2" applyFont="1" applyFill="1" applyBorder="1" applyAlignment="1">
      <alignment horizontal="center"/>
    </xf>
    <xf numFmtId="9" fontId="22" fillId="0" borderId="0" xfId="2" applyFont="1" applyFill="1" applyBorder="1" applyAlignment="1">
      <alignment horizontal="center"/>
    </xf>
    <xf numFmtId="9" fontId="22" fillId="0" borderId="1" xfId="2" applyFont="1" applyBorder="1" applyAlignment="1">
      <alignment horizontal="center"/>
    </xf>
    <xf numFmtId="0" fontId="23" fillId="0" borderId="3" xfId="0" applyFont="1" applyFill="1" applyBorder="1" applyAlignment="1">
      <alignment horizontal="center"/>
    </xf>
    <xf numFmtId="9" fontId="23" fillId="0" borderId="4" xfId="2" applyFont="1" applyBorder="1" applyAlignment="1">
      <alignment horizontal="center"/>
    </xf>
    <xf numFmtId="9" fontId="65" fillId="0" borderId="6" xfId="2" applyFont="1" applyFill="1" applyBorder="1" applyAlignment="1">
      <alignment horizontal="center"/>
    </xf>
    <xf numFmtId="9" fontId="23" fillId="0" borderId="0" xfId="0" applyNumberFormat="1" applyFont="1" applyBorder="1" applyAlignment="1">
      <alignment horizontal="center"/>
    </xf>
    <xf numFmtId="165" fontId="23" fillId="0" borderId="3" xfId="0" applyNumberFormat="1" applyFont="1" applyBorder="1" applyAlignment="1">
      <alignment horizontal="center"/>
    </xf>
    <xf numFmtId="0" fontId="23" fillId="0" borderId="3" xfId="0" applyFont="1" applyBorder="1" applyAlignment="1">
      <alignment horizontal="center"/>
    </xf>
    <xf numFmtId="9" fontId="23" fillId="0" borderId="6" xfId="2" applyFont="1" applyBorder="1" applyAlignment="1">
      <alignment horizontal="center"/>
    </xf>
    <xf numFmtId="165" fontId="23" fillId="0" borderId="3" xfId="0" applyNumberFormat="1" applyFont="1" applyFill="1" applyBorder="1" applyAlignment="1">
      <alignment horizontal="center"/>
    </xf>
    <xf numFmtId="9" fontId="23" fillId="2" borderId="0" xfId="0" applyNumberFormat="1" applyFont="1" applyFill="1" applyBorder="1" applyAlignment="1">
      <alignment horizontal="center"/>
    </xf>
    <xf numFmtId="9" fontId="23" fillId="0" borderId="1" xfId="0" applyNumberFormat="1" applyFont="1" applyBorder="1" applyAlignment="1">
      <alignment horizontal="center"/>
    </xf>
    <xf numFmtId="9" fontId="44" fillId="29" borderId="41" xfId="2" applyFont="1" applyFill="1" applyBorder="1" applyAlignment="1">
      <alignment horizontal="center" vertical="center"/>
    </xf>
    <xf numFmtId="166" fontId="23" fillId="0" borderId="0" xfId="0" applyNumberFormat="1" applyFont="1" applyFill="1" applyAlignment="1">
      <alignment horizontal="center"/>
    </xf>
    <xf numFmtId="0" fontId="22" fillId="0" borderId="0" xfId="0" applyFont="1" applyAlignment="1">
      <alignment horizontal="right"/>
    </xf>
    <xf numFmtId="10" fontId="23" fillId="0" borderId="0" xfId="0" applyNumberFormat="1" applyFont="1" applyAlignment="1">
      <alignment horizontal="center"/>
    </xf>
    <xf numFmtId="10" fontId="23" fillId="0" borderId="0" xfId="0" applyNumberFormat="1" applyFont="1" applyFill="1" applyAlignment="1">
      <alignment horizontal="center"/>
    </xf>
    <xf numFmtId="166" fontId="23" fillId="0" borderId="0" xfId="2" applyNumberFormat="1" applyFont="1" applyFill="1" applyAlignment="1">
      <alignment horizontal="center"/>
    </xf>
    <xf numFmtId="9" fontId="23" fillId="0" borderId="0" xfId="0" applyNumberFormat="1" applyFont="1" applyBorder="1" applyAlignment="1">
      <alignment horizontal="right"/>
    </xf>
    <xf numFmtId="165" fontId="23" fillId="0" borderId="0" xfId="9" applyNumberFormat="1" applyFont="1" applyFill="1" applyAlignment="1">
      <alignment horizontal="center"/>
    </xf>
    <xf numFmtId="165" fontId="23" fillId="30" borderId="0" xfId="9" applyNumberFormat="1" applyFont="1" applyFill="1" applyBorder="1" applyAlignment="1" applyProtection="1">
      <alignment horizontal="right" vertical="top"/>
    </xf>
    <xf numFmtId="0" fontId="22" fillId="0" borderId="0" xfId="0" applyFont="1" applyAlignment="1">
      <alignment horizontal="left" vertical="top"/>
    </xf>
    <xf numFmtId="0" fontId="22" fillId="0" borderId="0" xfId="0" applyFont="1" applyAlignment="1">
      <alignment horizontal="center"/>
    </xf>
    <xf numFmtId="0" fontId="23" fillId="19" borderId="0" xfId="0" applyFont="1" applyFill="1" applyAlignment="1" applyProtection="1">
      <alignment vertical="top"/>
    </xf>
    <xf numFmtId="0" fontId="22" fillId="19" borderId="0" xfId="0" applyFont="1" applyFill="1" applyBorder="1" applyAlignment="1" applyProtection="1">
      <alignment vertical="top"/>
    </xf>
    <xf numFmtId="165" fontId="23" fillId="19" borderId="0" xfId="9" applyNumberFormat="1" applyFont="1" applyFill="1" applyAlignment="1" applyProtection="1">
      <alignment vertical="top"/>
    </xf>
    <xf numFmtId="0" fontId="46" fillId="5" borderId="6" xfId="0" applyFont="1" applyFill="1" applyBorder="1" applyAlignment="1">
      <alignment horizontal="center" vertical="top" wrapText="1"/>
    </xf>
    <xf numFmtId="9" fontId="44" fillId="29" borderId="44" xfId="2" applyFont="1" applyFill="1" applyBorder="1" applyAlignment="1">
      <alignment horizontal="center" vertical="center"/>
    </xf>
    <xf numFmtId="0" fontId="24" fillId="0" borderId="0" xfId="12" applyFont="1" applyBorder="1" applyAlignment="1">
      <alignment horizontal="right"/>
    </xf>
    <xf numFmtId="10" fontId="23" fillId="0" borderId="0" xfId="2" applyNumberFormat="1" applyFont="1" applyBorder="1" applyAlignment="1">
      <alignment horizontal="left"/>
    </xf>
    <xf numFmtId="0" fontId="22" fillId="0" borderId="0" xfId="0" applyFont="1" applyAlignment="1">
      <alignment horizontal="center"/>
    </xf>
    <xf numFmtId="0" fontId="22" fillId="0" borderId="0" xfId="0" applyFont="1" applyAlignment="1">
      <alignment horizontal="center"/>
    </xf>
    <xf numFmtId="0" fontId="35" fillId="19" borderId="13" xfId="0" applyFont="1" applyFill="1" applyBorder="1" applyAlignment="1" applyProtection="1">
      <alignment horizontal="center" vertical="top"/>
    </xf>
    <xf numFmtId="0" fontId="24" fillId="2" borderId="0" xfId="0" applyFont="1" applyFill="1" applyAlignment="1" applyProtection="1">
      <alignment horizontal="left"/>
    </xf>
    <xf numFmtId="37" fontId="23" fillId="19" borderId="0" xfId="9" applyNumberFormat="1" applyFont="1" applyFill="1" applyBorder="1" applyAlignment="1" applyProtection="1">
      <alignment horizontal="right"/>
    </xf>
    <xf numFmtId="165" fontId="22" fillId="0" borderId="0" xfId="9" applyNumberFormat="1" applyFont="1" applyFill="1" applyBorder="1" applyAlignment="1" applyProtection="1">
      <alignment vertical="top"/>
    </xf>
    <xf numFmtId="165" fontId="22" fillId="0" borderId="0" xfId="9" applyNumberFormat="1" applyFont="1" applyFill="1" applyBorder="1" applyAlignment="1" applyProtection="1">
      <alignment horizontal="right" vertical="top"/>
    </xf>
    <xf numFmtId="0" fontId="37" fillId="0" borderId="0" xfId="0" applyFont="1" applyFill="1" applyBorder="1" applyAlignment="1" applyProtection="1"/>
    <xf numFmtId="166" fontId="22" fillId="0" borderId="0" xfId="2" applyNumberFormat="1" applyFont="1" applyFill="1" applyBorder="1" applyAlignment="1" applyProtection="1">
      <alignment horizontal="center"/>
    </xf>
    <xf numFmtId="165" fontId="66" fillId="0" borderId="0" xfId="9" applyNumberFormat="1" applyFont="1" applyFill="1" applyBorder="1" applyAlignment="1" applyProtection="1">
      <alignment horizontal="center"/>
    </xf>
    <xf numFmtId="0" fontId="25" fillId="0" borderId="0" xfId="0" applyFont="1" applyFill="1" applyBorder="1" applyAlignment="1" applyProtection="1">
      <alignment horizontal="center" vertical="center" wrapText="1"/>
    </xf>
    <xf numFmtId="165" fontId="23" fillId="0" borderId="0" xfId="9" applyNumberFormat="1" applyFont="1" applyFill="1" applyBorder="1" applyAlignment="1" applyProtection="1">
      <alignment vertical="top"/>
    </xf>
    <xf numFmtId="165" fontId="66" fillId="0" borderId="0" xfId="9" applyNumberFormat="1" applyFont="1" applyFill="1" applyBorder="1" applyAlignment="1" applyProtection="1">
      <alignment horizontal="center" vertical="top"/>
    </xf>
    <xf numFmtId="165" fontId="23" fillId="0" borderId="0" xfId="9" applyNumberFormat="1" applyFont="1" applyFill="1" applyBorder="1" applyAlignment="1" applyProtection="1">
      <alignment vertical="top" wrapText="1"/>
    </xf>
    <xf numFmtId="165" fontId="22" fillId="0" borderId="0" xfId="9" applyNumberFormat="1" applyFont="1" applyFill="1" applyBorder="1" applyAlignment="1" applyProtection="1">
      <alignment vertical="top" wrapText="1"/>
    </xf>
    <xf numFmtId="165" fontId="30" fillId="0" borderId="0" xfId="9" applyNumberFormat="1" applyFont="1" applyFill="1" applyBorder="1" applyAlignment="1" applyProtection="1">
      <alignment horizontal="right" vertical="top"/>
    </xf>
    <xf numFmtId="165" fontId="22" fillId="0" borderId="0" xfId="9" applyNumberFormat="1" applyFont="1" applyFill="1" applyAlignment="1" applyProtection="1">
      <alignment vertical="top"/>
    </xf>
    <xf numFmtId="0" fontId="60" fillId="0" borderId="0" xfId="0" applyFont="1" applyFill="1" applyBorder="1" applyAlignment="1" applyProtection="1">
      <alignment horizontal="center"/>
    </xf>
    <xf numFmtId="9" fontId="38" fillId="0" borderId="0" xfId="2" applyFont="1" applyFill="1" applyBorder="1" applyAlignment="1" applyProtection="1">
      <alignment horizontal="center"/>
    </xf>
    <xf numFmtId="0" fontId="43" fillId="0" borderId="0" xfId="0" applyFont="1" applyFill="1" applyAlignment="1">
      <alignment horizontal="left" vertical="top"/>
    </xf>
    <xf numFmtId="0" fontId="61" fillId="0" borderId="0" xfId="0" applyFont="1" applyFill="1" applyAlignment="1">
      <alignment horizontal="left" vertical="top"/>
    </xf>
    <xf numFmtId="0" fontId="22" fillId="0" borderId="0" xfId="0" applyFont="1" applyFill="1" applyAlignment="1" applyProtection="1">
      <alignment horizontal="center"/>
    </xf>
    <xf numFmtId="1" fontId="23" fillId="0" borderId="0" xfId="0" applyNumberFormat="1" applyFont="1" applyFill="1" applyBorder="1" applyAlignment="1" applyProtection="1">
      <alignment horizontal="right"/>
    </xf>
    <xf numFmtId="0" fontId="25" fillId="0" borderId="0" xfId="0" applyFont="1" applyFill="1" applyAlignment="1" applyProtection="1">
      <alignment horizontal="right"/>
    </xf>
    <xf numFmtId="0" fontId="38" fillId="0" borderId="0" xfId="10" applyFont="1" applyFill="1" applyAlignment="1" applyProtection="1">
      <alignment horizontal="right"/>
    </xf>
    <xf numFmtId="37" fontId="23" fillId="0" borderId="0" xfId="0" applyNumberFormat="1" applyFont="1" applyFill="1" applyBorder="1" applyAlignment="1" applyProtection="1">
      <alignment horizontal="center"/>
    </xf>
    <xf numFmtId="165" fontId="25" fillId="0" borderId="0" xfId="9" applyNumberFormat="1" applyFont="1" applyFill="1" applyBorder="1" applyAlignment="1" applyProtection="1">
      <alignment horizontal="center"/>
    </xf>
    <xf numFmtId="165" fontId="23" fillId="0" borderId="0" xfId="9" applyNumberFormat="1" applyFont="1" applyFill="1" applyBorder="1" applyAlignment="1" applyProtection="1">
      <alignment horizontal="center"/>
    </xf>
    <xf numFmtId="37" fontId="23" fillId="0" borderId="0" xfId="9" applyNumberFormat="1" applyFont="1" applyFill="1" applyBorder="1" applyAlignment="1" applyProtection="1">
      <alignment horizontal="right"/>
    </xf>
    <xf numFmtId="0" fontId="25" fillId="0" borderId="0" xfId="0" applyFont="1" applyFill="1" applyAlignment="1" applyProtection="1">
      <alignment horizontal="center"/>
    </xf>
    <xf numFmtId="165" fontId="22" fillId="0" borderId="0" xfId="9" applyNumberFormat="1" applyFont="1" applyFill="1" applyBorder="1" applyAlignment="1" applyProtection="1">
      <alignment horizontal="center"/>
    </xf>
    <xf numFmtId="0" fontId="38" fillId="0" borderId="0" xfId="10" applyFont="1" applyFill="1" applyAlignment="1" applyProtection="1">
      <alignment horizontal="left" vertical="top"/>
    </xf>
    <xf numFmtId="0" fontId="25" fillId="0" borderId="0" xfId="0" applyFont="1" applyFill="1" applyAlignment="1">
      <alignment horizontal="center"/>
    </xf>
    <xf numFmtId="166" fontId="22" fillId="19" borderId="13" xfId="2" applyNumberFormat="1" applyFont="1" applyFill="1" applyBorder="1" applyAlignment="1">
      <alignment horizontal="center"/>
    </xf>
    <xf numFmtId="0" fontId="11" fillId="0" borderId="0" xfId="19" applyFont="1"/>
    <xf numFmtId="0" fontId="11" fillId="5" borderId="0" xfId="19" applyFont="1" applyFill="1"/>
    <xf numFmtId="0" fontId="11" fillId="0" borderId="0" xfId="19" applyFont="1" applyFill="1"/>
    <xf numFmtId="0" fontId="11" fillId="0" borderId="0" xfId="19" applyFont="1" applyFill="1" applyBorder="1"/>
    <xf numFmtId="0" fontId="11" fillId="2" borderId="0" xfId="19" applyFont="1" applyFill="1"/>
    <xf numFmtId="0" fontId="37" fillId="0" borderId="0" xfId="0" applyFont="1" applyFill="1" applyBorder="1" applyAlignment="1" applyProtection="1">
      <alignment horizontal="left"/>
    </xf>
    <xf numFmtId="166" fontId="37" fillId="0" borderId="0" xfId="2" applyNumberFormat="1" applyFont="1" applyFill="1" applyBorder="1" applyAlignment="1" applyProtection="1">
      <alignment horizontal="center"/>
    </xf>
    <xf numFmtId="0" fontId="37" fillId="2" borderId="2" xfId="0" applyFont="1" applyFill="1" applyBorder="1" applyAlignment="1" applyProtection="1">
      <alignment horizontal="left"/>
    </xf>
    <xf numFmtId="166" fontId="37" fillId="2" borderId="2" xfId="2" applyNumberFormat="1" applyFont="1" applyFill="1" applyBorder="1" applyAlignment="1" applyProtection="1">
      <alignment horizontal="center"/>
    </xf>
    <xf numFmtId="37" fontId="16" fillId="0" borderId="0" xfId="0" applyNumberFormat="1" applyFont="1" applyFill="1" applyAlignment="1">
      <alignment horizontal="center"/>
    </xf>
    <xf numFmtId="37" fontId="23" fillId="0" borderId="0" xfId="0" applyNumberFormat="1" applyFont="1" applyFill="1" applyAlignment="1">
      <alignment horizontal="center"/>
    </xf>
    <xf numFmtId="37" fontId="24" fillId="0" borderId="0" xfId="9" applyNumberFormat="1" applyFont="1" applyFill="1" applyBorder="1" applyAlignment="1" applyProtection="1">
      <alignment horizontal="right"/>
    </xf>
    <xf numFmtId="37" fontId="23" fillId="19" borderId="0" xfId="9" applyNumberFormat="1" applyFont="1" applyFill="1" applyBorder="1" applyAlignment="1" applyProtection="1">
      <alignment horizontal="right" vertical="top"/>
    </xf>
    <xf numFmtId="37" fontId="23" fillId="0" borderId="0" xfId="0" applyNumberFormat="1" applyFont="1" applyFill="1" applyAlignment="1">
      <alignment horizontal="right" vertical="top"/>
    </xf>
    <xf numFmtId="37" fontId="23" fillId="0" borderId="0" xfId="0" applyNumberFormat="1" applyFont="1" applyFill="1" applyAlignment="1">
      <alignment horizontal="right"/>
    </xf>
    <xf numFmtId="0" fontId="46" fillId="0" borderId="0" xfId="0" applyFont="1"/>
    <xf numFmtId="49" fontId="22" fillId="0" borderId="0" xfId="0" applyNumberFormat="1" applyFont="1" applyFill="1" applyBorder="1" applyAlignment="1" applyProtection="1">
      <alignment horizontal="left" vertical="top"/>
      <protection hidden="1"/>
    </xf>
    <xf numFmtId="10" fontId="23" fillId="0" borderId="0" xfId="2" applyNumberFormat="1" applyFont="1" applyFill="1" applyAlignment="1">
      <alignment horizontal="center"/>
    </xf>
    <xf numFmtId="0" fontId="22" fillId="0" borderId="0" xfId="0" applyFont="1" applyFill="1" applyAlignment="1">
      <alignment horizontal="left" vertical="top"/>
    </xf>
    <xf numFmtId="0" fontId="22" fillId="0" borderId="1" xfId="0" applyFont="1" applyFill="1" applyBorder="1" applyAlignment="1">
      <alignment horizontal="left" vertical="top"/>
    </xf>
    <xf numFmtId="10" fontId="23" fillId="0" borderId="0" xfId="2" applyNumberFormat="1" applyFont="1" applyBorder="1" applyAlignment="1" applyProtection="1">
      <alignment horizontal="right" vertical="top"/>
      <protection hidden="1"/>
    </xf>
    <xf numFmtId="43" fontId="23" fillId="0" borderId="0" xfId="9" applyFont="1" applyBorder="1" applyAlignment="1" applyProtection="1">
      <alignment horizontal="right" vertical="top"/>
      <protection hidden="1"/>
    </xf>
    <xf numFmtId="0" fontId="23" fillId="0" borderId="0" xfId="0" applyFont="1" applyBorder="1" applyAlignment="1" applyProtection="1">
      <alignment horizontal="left" vertical="top"/>
      <protection locked="0"/>
    </xf>
    <xf numFmtId="0" fontId="23" fillId="0" borderId="0" xfId="0" applyFont="1" applyBorder="1" applyAlignment="1" applyProtection="1">
      <alignment horizontal="right" vertical="top"/>
      <protection locked="0"/>
    </xf>
    <xf numFmtId="165" fontId="23" fillId="20" borderId="4" xfId="9" applyNumberFormat="1" applyFont="1" applyFill="1" applyBorder="1" applyAlignment="1" applyProtection="1">
      <alignment horizontal="right" vertical="top"/>
      <protection locked="0"/>
    </xf>
    <xf numFmtId="10" fontId="23" fillId="20" borderId="8" xfId="2" applyNumberFormat="1" applyFont="1" applyFill="1" applyBorder="1" applyAlignment="1" applyProtection="1">
      <alignment horizontal="right" vertical="top"/>
      <protection locked="0"/>
    </xf>
    <xf numFmtId="10" fontId="23" fillId="20" borderId="27" xfId="2" applyNumberFormat="1" applyFont="1" applyFill="1" applyBorder="1" applyAlignment="1" applyProtection="1">
      <alignment horizontal="right" vertical="top"/>
      <protection locked="0"/>
    </xf>
    <xf numFmtId="0" fontId="23" fillId="0" borderId="0" xfId="0" applyFont="1" applyAlignment="1" applyProtection="1">
      <alignment horizontal="center"/>
      <protection locked="0"/>
    </xf>
    <xf numFmtId="0" fontId="22" fillId="0" borderId="0" xfId="0" applyFont="1" applyAlignment="1" applyProtection="1">
      <alignment horizontal="center"/>
      <protection locked="0"/>
    </xf>
    <xf numFmtId="0" fontId="22" fillId="0" borderId="0" xfId="0" applyFont="1" applyFill="1" applyBorder="1" applyAlignment="1" applyProtection="1">
      <alignment horizontal="center" vertical="top"/>
      <protection locked="0"/>
    </xf>
    <xf numFmtId="0" fontId="22" fillId="5" borderId="3" xfId="0" applyFont="1" applyFill="1" applyBorder="1" applyAlignment="1" applyProtection="1">
      <alignment horizontal="center"/>
      <protection locked="0"/>
    </xf>
    <xf numFmtId="0" fontId="22" fillId="5" borderId="4" xfId="0" applyFont="1" applyFill="1" applyBorder="1" applyAlignment="1" applyProtection="1">
      <alignment horizontal="center"/>
      <protection locked="0"/>
    </xf>
    <xf numFmtId="0" fontId="22" fillId="2" borderId="3" xfId="0" applyFont="1" applyFill="1" applyBorder="1" applyAlignment="1" applyProtection="1">
      <alignment horizontal="center"/>
      <protection locked="0"/>
    </xf>
    <xf numFmtId="0" fontId="22" fillId="0" borderId="0" xfId="0" applyFont="1" applyBorder="1" applyAlignment="1" applyProtection="1">
      <alignment horizontal="center"/>
      <protection locked="0"/>
    </xf>
    <xf numFmtId="0" fontId="22" fillId="5" borderId="0" xfId="0" applyFont="1" applyFill="1" applyBorder="1" applyAlignment="1" applyProtection="1">
      <alignment horizontal="left" vertical="top"/>
      <protection locked="0"/>
    </xf>
    <xf numFmtId="0" fontId="46" fillId="5" borderId="4" xfId="0" applyFont="1" applyFill="1" applyBorder="1" applyAlignment="1" applyProtection="1">
      <alignment horizontal="center" vertical="top" wrapText="1"/>
      <protection locked="0"/>
    </xf>
    <xf numFmtId="0" fontId="46" fillId="0" borderId="0" xfId="0" applyFont="1" applyFill="1" applyBorder="1" applyAlignment="1" applyProtection="1">
      <alignment horizontal="center" vertical="top" wrapText="1"/>
      <protection locked="0"/>
    </xf>
    <xf numFmtId="0" fontId="23" fillId="5" borderId="4" xfId="0" applyFont="1" applyFill="1" applyBorder="1" applyAlignment="1" applyProtection="1">
      <alignment horizontal="center"/>
      <protection locked="0"/>
    </xf>
    <xf numFmtId="0" fontId="23" fillId="5" borderId="6" xfId="0" applyFont="1" applyFill="1" applyBorder="1" applyAlignment="1" applyProtection="1">
      <alignment horizontal="center"/>
      <protection locked="0"/>
    </xf>
    <xf numFmtId="0" fontId="46" fillId="5" borderId="6" xfId="0" applyFont="1" applyFill="1" applyBorder="1" applyAlignment="1" applyProtection="1">
      <alignment horizontal="center" vertical="top" wrapText="1"/>
      <protection locked="0"/>
    </xf>
    <xf numFmtId="0" fontId="23" fillId="2" borderId="3" xfId="0" applyFont="1" applyFill="1" applyBorder="1" applyAlignment="1" applyProtection="1">
      <alignment horizontal="center"/>
      <protection locked="0"/>
    </xf>
    <xf numFmtId="0" fontId="23" fillId="2" borderId="0"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0" fontId="23" fillId="0" borderId="0" xfId="0" applyFont="1" applyFill="1" applyBorder="1" applyAlignment="1" applyProtection="1">
      <alignment horizontal="center"/>
      <protection locked="0"/>
    </xf>
    <xf numFmtId="0" fontId="22" fillId="3" borderId="38" xfId="0" applyFont="1" applyFill="1" applyBorder="1" applyAlignment="1" applyProtection="1">
      <alignment horizontal="center"/>
      <protection locked="0"/>
    </xf>
    <xf numFmtId="9" fontId="23" fillId="25" borderId="0" xfId="2" applyFont="1" applyFill="1" applyBorder="1" applyAlignment="1" applyProtection="1">
      <alignment horizontal="center" vertical="center"/>
      <protection locked="0"/>
    </xf>
    <xf numFmtId="9" fontId="23" fillId="19" borderId="0" xfId="2" applyNumberFormat="1" applyFont="1" applyFill="1" applyBorder="1" applyAlignment="1" applyProtection="1">
      <alignment horizontal="center" vertical="center"/>
      <protection locked="0"/>
    </xf>
    <xf numFmtId="10" fontId="23" fillId="19" borderId="0" xfId="2" applyNumberFormat="1" applyFont="1" applyFill="1" applyBorder="1" applyAlignment="1" applyProtection="1">
      <alignment horizontal="center" vertical="center"/>
      <protection locked="0"/>
    </xf>
    <xf numFmtId="0" fontId="22" fillId="3" borderId="39" xfId="0" applyFont="1" applyFill="1" applyBorder="1" applyAlignment="1" applyProtection="1">
      <alignment horizontal="center"/>
      <protection locked="0"/>
    </xf>
    <xf numFmtId="9" fontId="23" fillId="25" borderId="1" xfId="2" applyFont="1" applyFill="1" applyBorder="1" applyAlignment="1" applyProtection="1">
      <alignment horizontal="center" vertical="center"/>
      <protection locked="0"/>
    </xf>
    <xf numFmtId="10" fontId="23" fillId="19" borderId="1" xfId="2" applyNumberFormat="1" applyFont="1" applyFill="1" applyBorder="1" applyAlignment="1" applyProtection="1">
      <alignment horizontal="center" vertical="center"/>
      <protection locked="0"/>
    </xf>
    <xf numFmtId="10" fontId="23" fillId="2" borderId="0" xfId="2" applyNumberFormat="1" applyFont="1" applyFill="1" applyBorder="1" applyAlignment="1" applyProtection="1">
      <alignment horizontal="center" vertical="center"/>
      <protection hidden="1"/>
    </xf>
    <xf numFmtId="9" fontId="44" fillId="29" borderId="44" xfId="2" applyFont="1" applyFill="1" applyBorder="1" applyAlignment="1" applyProtection="1">
      <alignment horizontal="center" vertical="center"/>
      <protection hidden="1"/>
    </xf>
    <xf numFmtId="9" fontId="44" fillId="29" borderId="41" xfId="2" applyFont="1" applyFill="1" applyBorder="1" applyAlignment="1" applyProtection="1">
      <alignment horizontal="center" vertical="center"/>
      <protection hidden="1"/>
    </xf>
    <xf numFmtId="10" fontId="23" fillId="2" borderId="1" xfId="2" applyNumberFormat="1" applyFont="1" applyFill="1" applyBorder="1" applyAlignment="1" applyProtection="1">
      <alignment horizontal="center" vertical="center"/>
      <protection hidden="1"/>
    </xf>
    <xf numFmtId="165" fontId="23" fillId="0" borderId="3" xfId="0" applyNumberFormat="1" applyFont="1" applyFill="1" applyBorder="1" applyAlignment="1" applyProtection="1">
      <alignment horizontal="center"/>
      <protection locked="0"/>
    </xf>
    <xf numFmtId="9" fontId="23" fillId="0" borderId="0" xfId="2" applyFont="1" applyFill="1" applyBorder="1" applyAlignment="1" applyProtection="1">
      <alignment horizontal="center"/>
      <protection locked="0"/>
    </xf>
    <xf numFmtId="165" fontId="23" fillId="0" borderId="3" xfId="9" applyNumberFormat="1" applyFont="1" applyFill="1" applyBorder="1" applyAlignment="1" applyProtection="1">
      <alignment horizontal="right" vertical="top"/>
      <protection locked="0"/>
    </xf>
    <xf numFmtId="165" fontId="23" fillId="0" borderId="0" xfId="9" applyNumberFormat="1" applyFont="1" applyFill="1" applyBorder="1" applyAlignment="1" applyProtection="1">
      <alignment horizontal="right" vertical="top"/>
      <protection locked="0"/>
    </xf>
    <xf numFmtId="0" fontId="23" fillId="0" borderId="0" xfId="0" applyFont="1" applyBorder="1" applyAlignment="1" applyProtection="1">
      <alignment horizontal="center"/>
      <protection locked="0"/>
    </xf>
    <xf numFmtId="165" fontId="23" fillId="22" borderId="17" xfId="9" applyNumberFormat="1" applyFont="1" applyFill="1" applyBorder="1" applyAlignment="1" applyProtection="1">
      <alignment horizontal="right" vertical="top"/>
      <protection locked="0"/>
    </xf>
    <xf numFmtId="9" fontId="23" fillId="0" borderId="4" xfId="2" applyFont="1" applyBorder="1" applyAlignment="1" applyProtection="1">
      <alignment horizontal="center"/>
      <protection hidden="1"/>
    </xf>
    <xf numFmtId="9" fontId="23" fillId="0" borderId="0" xfId="2" applyFont="1" applyAlignment="1" applyProtection="1">
      <alignment horizontal="center"/>
      <protection locked="0"/>
    </xf>
    <xf numFmtId="9" fontId="22" fillId="0" borderId="0" xfId="2" applyFont="1" applyAlignment="1" applyProtection="1">
      <alignment horizontal="center"/>
      <protection locked="0"/>
    </xf>
    <xf numFmtId="0" fontId="22" fillId="0" borderId="10" xfId="0" applyFont="1" applyFill="1" applyBorder="1" applyAlignment="1" applyProtection="1">
      <alignment horizontal="center"/>
      <protection locked="0"/>
    </xf>
    <xf numFmtId="9" fontId="22" fillId="0" borderId="2" xfId="2" applyFont="1" applyBorder="1" applyAlignment="1" applyProtection="1">
      <alignment horizontal="center"/>
      <protection locked="0"/>
    </xf>
    <xf numFmtId="0" fontId="22" fillId="0" borderId="2" xfId="0" applyFont="1" applyBorder="1" applyAlignment="1" applyProtection="1">
      <alignment horizontal="center"/>
      <protection locked="0"/>
    </xf>
    <xf numFmtId="9" fontId="22" fillId="0" borderId="11" xfId="2" applyFont="1" applyBorder="1" applyAlignment="1" applyProtection="1">
      <alignment horizontal="center"/>
      <protection locked="0"/>
    </xf>
    <xf numFmtId="0" fontId="23" fillId="0" borderId="3" xfId="0" applyFont="1" applyFill="1" applyBorder="1" applyAlignment="1" applyProtection="1">
      <alignment horizontal="center"/>
      <protection locked="0"/>
    </xf>
    <xf numFmtId="9" fontId="23" fillId="0" borderId="0" xfId="2" applyFont="1" applyBorder="1" applyAlignment="1" applyProtection="1">
      <alignment horizontal="center"/>
      <protection locked="0"/>
    </xf>
    <xf numFmtId="9" fontId="23" fillId="0" borderId="4" xfId="2" applyFont="1" applyBorder="1" applyAlignment="1" applyProtection="1">
      <alignment horizontal="center"/>
      <protection locked="0"/>
    </xf>
    <xf numFmtId="0" fontId="22" fillId="0" borderId="3" xfId="0" applyFont="1" applyFill="1" applyBorder="1" applyAlignment="1" applyProtection="1">
      <alignment horizontal="center"/>
      <protection locked="0"/>
    </xf>
    <xf numFmtId="0" fontId="22" fillId="0" borderId="0" xfId="0" applyFont="1" applyFill="1" applyBorder="1" applyAlignment="1" applyProtection="1">
      <alignment horizontal="center"/>
      <protection locked="0"/>
    </xf>
    <xf numFmtId="9" fontId="65" fillId="0" borderId="0" xfId="2" applyFont="1" applyFill="1" applyBorder="1" applyAlignment="1" applyProtection="1">
      <alignment horizontal="center"/>
      <protection locked="0"/>
    </xf>
    <xf numFmtId="0" fontId="22" fillId="0" borderId="0" xfId="0" applyFont="1" applyBorder="1" applyAlignment="1" applyProtection="1">
      <alignment horizontal="right"/>
      <protection locked="0"/>
    </xf>
    <xf numFmtId="9" fontId="65" fillId="0" borderId="1" xfId="2" applyFont="1" applyFill="1" applyBorder="1" applyAlignment="1" applyProtection="1">
      <alignment horizontal="center"/>
      <protection locked="0"/>
    </xf>
    <xf numFmtId="9" fontId="65" fillId="0" borderId="6" xfId="2" applyFont="1" applyFill="1" applyBorder="1" applyAlignment="1" applyProtection="1">
      <alignment horizontal="center"/>
      <protection locked="0"/>
    </xf>
    <xf numFmtId="0" fontId="25" fillId="0" borderId="0" xfId="0" applyFont="1" applyFill="1" applyBorder="1" applyAlignment="1" applyProtection="1">
      <alignment horizontal="center"/>
      <protection locked="0"/>
    </xf>
    <xf numFmtId="0" fontId="39" fillId="0" borderId="0" xfId="0" quotePrefix="1" applyFont="1" applyProtection="1">
      <protection locked="0"/>
    </xf>
    <xf numFmtId="0" fontId="40" fillId="0" borderId="0" xfId="0" quotePrefix="1" applyFont="1" applyProtection="1">
      <protection locked="0"/>
    </xf>
    <xf numFmtId="0" fontId="37" fillId="9" borderId="1" xfId="0" applyFont="1" applyFill="1" applyBorder="1" applyAlignment="1" applyProtection="1">
      <protection locked="0"/>
    </xf>
    <xf numFmtId="0" fontId="37" fillId="9" borderId="6" xfId="0" applyFont="1" applyFill="1" applyBorder="1" applyAlignment="1" applyProtection="1">
      <protection locked="0"/>
    </xf>
    <xf numFmtId="0" fontId="23" fillId="0" borderId="4" xfId="0" applyFont="1" applyFill="1" applyBorder="1" applyAlignment="1" applyProtection="1">
      <alignment horizontal="center"/>
      <protection locked="0"/>
    </xf>
    <xf numFmtId="0" fontId="22" fillId="0" borderId="4" xfId="0" applyFont="1" applyFill="1" applyBorder="1" applyAlignment="1" applyProtection="1">
      <alignment horizontal="center"/>
      <protection locked="0"/>
    </xf>
    <xf numFmtId="0" fontId="22" fillId="5" borderId="3" xfId="0" applyFont="1" applyFill="1" applyBorder="1" applyAlignment="1" applyProtection="1">
      <alignment horizontal="left"/>
      <protection hidden="1"/>
    </xf>
    <xf numFmtId="0" fontId="22" fillId="5" borderId="0" xfId="0" applyFont="1" applyFill="1" applyBorder="1" applyAlignment="1" applyProtection="1">
      <alignment horizontal="left"/>
      <protection hidden="1"/>
    </xf>
    <xf numFmtId="166" fontId="22" fillId="5" borderId="4" xfId="2" applyNumberFormat="1" applyFont="1" applyFill="1" applyBorder="1" applyAlignment="1" applyProtection="1">
      <alignment horizontal="center"/>
      <protection hidden="1"/>
    </xf>
    <xf numFmtId="0" fontId="22" fillId="5" borderId="5" xfId="0" applyFont="1" applyFill="1" applyBorder="1" applyAlignment="1" applyProtection="1">
      <alignment horizontal="left"/>
      <protection hidden="1"/>
    </xf>
    <xf numFmtId="0" fontId="22" fillId="5" borderId="1" xfId="0" applyFont="1" applyFill="1" applyBorder="1" applyAlignment="1" applyProtection="1">
      <alignment horizontal="left"/>
      <protection hidden="1"/>
    </xf>
    <xf numFmtId="166" fontId="22" fillId="5" borderId="6" xfId="2" applyNumberFormat="1" applyFont="1" applyFill="1" applyBorder="1" applyAlignment="1" applyProtection="1">
      <alignment horizontal="center"/>
      <protection hidden="1"/>
    </xf>
    <xf numFmtId="0" fontId="24" fillId="23" borderId="20" xfId="0" applyFont="1" applyFill="1" applyBorder="1" applyAlignment="1" applyProtection="1">
      <alignment horizontal="left" vertical="top"/>
      <protection locked="0"/>
    </xf>
    <xf numFmtId="0" fontId="23" fillId="23" borderId="20" xfId="0" applyFont="1" applyFill="1" applyBorder="1" applyAlignment="1" applyProtection="1">
      <alignment horizontal="right" vertical="top"/>
      <protection locked="0"/>
    </xf>
    <xf numFmtId="165" fontId="23" fillId="23" borderId="20" xfId="9" applyNumberFormat="1" applyFont="1" applyFill="1" applyBorder="1" applyAlignment="1" applyProtection="1">
      <alignment horizontal="right" vertical="top"/>
      <protection locked="0"/>
    </xf>
    <xf numFmtId="0" fontId="23" fillId="23" borderId="20" xfId="0" applyFont="1" applyFill="1" applyBorder="1" applyAlignment="1" applyProtection="1">
      <alignment horizontal="right"/>
      <protection locked="0"/>
    </xf>
    <xf numFmtId="165" fontId="23" fillId="22" borderId="18" xfId="9" applyNumberFormat="1" applyFont="1" applyFill="1" applyBorder="1" applyAlignment="1" applyProtection="1">
      <alignment horizontal="right" vertical="top"/>
      <protection locked="0"/>
    </xf>
    <xf numFmtId="165" fontId="22" fillId="0" borderId="2" xfId="9" applyNumberFormat="1" applyFont="1" applyBorder="1" applyAlignment="1" applyProtection="1">
      <alignment horizontal="right" vertical="top"/>
      <protection hidden="1"/>
    </xf>
    <xf numFmtId="165" fontId="22" fillId="0" borderId="30" xfId="9" applyNumberFormat="1" applyFont="1" applyBorder="1" applyAlignment="1" applyProtection="1">
      <alignment horizontal="right" vertical="top"/>
      <protection hidden="1"/>
    </xf>
    <xf numFmtId="0" fontId="23" fillId="0" borderId="0" xfId="0" applyFont="1" applyBorder="1" applyAlignment="1" applyProtection="1">
      <alignment horizontal="right" vertical="center"/>
      <protection locked="0"/>
    </xf>
    <xf numFmtId="165" fontId="23" fillId="0" borderId="0" xfId="9" applyNumberFormat="1" applyFont="1" applyBorder="1" applyAlignment="1" applyProtection="1">
      <alignment horizontal="right" vertical="top"/>
      <protection locked="0"/>
    </xf>
    <xf numFmtId="9" fontId="23" fillId="0" borderId="0" xfId="0" applyNumberFormat="1" applyFont="1" applyBorder="1" applyAlignment="1" applyProtection="1">
      <alignment horizontal="right"/>
      <protection hidden="1"/>
    </xf>
    <xf numFmtId="165" fontId="23" fillId="0" borderId="0" xfId="0" applyNumberFormat="1" applyFont="1" applyFill="1" applyBorder="1" applyAlignment="1" applyProtection="1">
      <alignment horizontal="center"/>
      <protection hidden="1"/>
    </xf>
    <xf numFmtId="0" fontId="22" fillId="0" borderId="14" xfId="0" quotePrefix="1" applyFont="1" applyBorder="1" applyProtection="1">
      <protection locked="0"/>
    </xf>
    <xf numFmtId="0" fontId="23" fillId="0" borderId="0" xfId="0" applyFont="1" applyFill="1" applyBorder="1" applyAlignment="1" applyProtection="1">
      <alignment horizontal="left" vertical="top"/>
      <protection locked="0"/>
    </xf>
    <xf numFmtId="0" fontId="23" fillId="0" borderId="0" xfId="0" applyFont="1" applyFill="1" applyBorder="1" applyAlignment="1" applyProtection="1">
      <alignment vertical="top"/>
      <protection locked="0"/>
    </xf>
    <xf numFmtId="0" fontId="36" fillId="9" borderId="1" xfId="0" applyFont="1" applyFill="1" applyBorder="1" applyAlignment="1" applyProtection="1">
      <alignment horizontal="left"/>
      <protection locked="0"/>
    </xf>
    <xf numFmtId="0" fontId="24" fillId="6" borderId="0" xfId="0" applyFont="1" applyFill="1" applyBorder="1" applyAlignment="1" applyProtection="1">
      <alignment horizontal="left"/>
      <protection locked="0"/>
    </xf>
    <xf numFmtId="0" fontId="22" fillId="6" borderId="0" xfId="0" applyFont="1" applyFill="1" applyBorder="1" applyAlignment="1" applyProtection="1">
      <alignment horizontal="center"/>
      <protection locked="0"/>
    </xf>
    <xf numFmtId="0" fontId="22" fillId="6" borderId="0" xfId="0" applyFont="1" applyFill="1" applyAlignment="1" applyProtection="1">
      <alignment horizontal="center"/>
      <protection locked="0"/>
    </xf>
    <xf numFmtId="0" fontId="25" fillId="6" borderId="0" xfId="0" applyFont="1" applyFill="1" applyAlignment="1" applyProtection="1">
      <alignment horizontal="right"/>
      <protection locked="0"/>
    </xf>
    <xf numFmtId="0" fontId="35" fillId="6" borderId="0" xfId="0" applyFont="1" applyFill="1" applyBorder="1" applyAlignment="1" applyProtection="1">
      <alignment horizontal="center" vertical="top"/>
      <protection locked="0"/>
    </xf>
    <xf numFmtId="0" fontId="23" fillId="18" borderId="0" xfId="0" applyFont="1" applyFill="1" applyAlignment="1" applyProtection="1">
      <alignment horizontal="left"/>
      <protection hidden="1"/>
    </xf>
    <xf numFmtId="0" fontId="23" fillId="18" borderId="0" xfId="0" applyFont="1" applyFill="1" applyAlignment="1" applyProtection="1">
      <alignment horizontal="center"/>
      <protection hidden="1"/>
    </xf>
    <xf numFmtId="0" fontId="22" fillId="18" borderId="0" xfId="0" applyFont="1" applyFill="1" applyBorder="1" applyAlignment="1" applyProtection="1">
      <alignment horizontal="center"/>
      <protection hidden="1"/>
    </xf>
    <xf numFmtId="0" fontId="25" fillId="18" borderId="7" xfId="0" applyFont="1" applyFill="1" applyBorder="1" applyAlignment="1" applyProtection="1">
      <alignment horizontal="left"/>
      <protection hidden="1"/>
    </xf>
    <xf numFmtId="166" fontId="23" fillId="18" borderId="8" xfId="2" applyNumberFormat="1" applyFont="1" applyFill="1" applyBorder="1" applyAlignment="1" applyProtection="1">
      <alignment horizontal="left"/>
      <protection hidden="1"/>
    </xf>
    <xf numFmtId="166" fontId="23" fillId="18" borderId="9" xfId="2" applyNumberFormat="1" applyFont="1" applyFill="1" applyBorder="1" applyAlignment="1" applyProtection="1">
      <alignment horizontal="left"/>
      <protection hidden="1"/>
    </xf>
    <xf numFmtId="0" fontId="23" fillId="6" borderId="0" xfId="0" applyFont="1" applyFill="1" applyAlignment="1" applyProtection="1">
      <alignment horizontal="left"/>
      <protection locked="0"/>
    </xf>
    <xf numFmtId="0" fontId="23" fillId="6" borderId="0" xfId="0" applyFont="1" applyFill="1" applyAlignment="1" applyProtection="1">
      <alignment horizontal="center"/>
      <protection locked="0"/>
    </xf>
    <xf numFmtId="0" fontId="22" fillId="14" borderId="13" xfId="0" applyFont="1" applyFill="1" applyBorder="1" applyAlignment="1" applyProtection="1">
      <alignment horizontal="center"/>
      <protection locked="0"/>
    </xf>
    <xf numFmtId="0" fontId="23" fillId="6" borderId="0" xfId="0" applyFont="1" applyFill="1" applyAlignment="1" applyProtection="1">
      <protection locked="0"/>
    </xf>
    <xf numFmtId="0" fontId="22" fillId="6" borderId="0" xfId="0" applyFont="1" applyFill="1" applyBorder="1" applyAlignment="1" applyProtection="1">
      <protection locked="0"/>
    </xf>
    <xf numFmtId="166" fontId="23" fillId="14" borderId="13" xfId="2" applyNumberFormat="1" applyFont="1" applyFill="1" applyBorder="1" applyAlignment="1" applyProtection="1">
      <alignment horizontal="right"/>
      <protection locked="0"/>
    </xf>
    <xf numFmtId="0" fontId="23" fillId="2" borderId="0" xfId="0" applyFont="1" applyFill="1" applyAlignment="1" applyProtection="1">
      <alignment horizontal="center"/>
      <protection locked="0"/>
    </xf>
    <xf numFmtId="0" fontId="23" fillId="0" borderId="0" xfId="0" applyFont="1" applyFill="1" applyAlignment="1" applyProtection="1">
      <alignment horizontal="center"/>
      <protection locked="0"/>
    </xf>
    <xf numFmtId="168" fontId="23" fillId="0" borderId="0" xfId="0" applyNumberFormat="1" applyFont="1" applyFill="1" applyAlignment="1" applyProtection="1">
      <alignment horizontal="center"/>
      <protection locked="0"/>
    </xf>
    <xf numFmtId="0" fontId="23" fillId="5" borderId="0" xfId="0" applyFont="1" applyFill="1" applyAlignment="1" applyProtection="1">
      <alignment horizontal="center"/>
      <protection locked="0"/>
    </xf>
    <xf numFmtId="0" fontId="23" fillId="0" borderId="2" xfId="0" applyFont="1" applyBorder="1" applyAlignment="1" applyProtection="1">
      <alignment horizontal="center"/>
      <protection locked="0"/>
    </xf>
    <xf numFmtId="0" fontId="23" fillId="0" borderId="11" xfId="0" applyFont="1" applyBorder="1" applyAlignment="1" applyProtection="1">
      <alignment horizontal="center"/>
      <protection locked="0"/>
    </xf>
    <xf numFmtId="0" fontId="37" fillId="0" borderId="0" xfId="0" applyFont="1" applyFill="1" applyBorder="1" applyAlignment="1" applyProtection="1">
      <alignment horizontal="center"/>
      <protection locked="0"/>
    </xf>
    <xf numFmtId="165" fontId="66" fillId="27" borderId="4" xfId="9" applyNumberFormat="1" applyFont="1" applyFill="1" applyBorder="1" applyAlignment="1" applyProtection="1">
      <alignment horizontal="center"/>
      <protection locked="0"/>
    </xf>
    <xf numFmtId="0" fontId="25" fillId="0" borderId="0" xfId="0" applyFont="1" applyBorder="1" applyAlignment="1" applyProtection="1">
      <alignment horizontal="center" vertical="center"/>
      <protection locked="0"/>
    </xf>
    <xf numFmtId="0" fontId="25" fillId="0" borderId="0"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165" fontId="22" fillId="0" borderId="2" xfId="9" applyNumberFormat="1" applyFont="1" applyBorder="1" applyAlignment="1" applyProtection="1">
      <alignment horizontal="right" vertical="top"/>
      <protection locked="0"/>
    </xf>
    <xf numFmtId="0" fontId="37" fillId="26" borderId="0" xfId="0" applyFont="1" applyFill="1" applyBorder="1" applyAlignment="1" applyProtection="1">
      <alignment horizontal="center"/>
      <protection locked="0"/>
    </xf>
    <xf numFmtId="165" fontId="23" fillId="0" borderId="4" xfId="9" applyNumberFormat="1" applyFont="1" applyBorder="1" applyAlignment="1" applyProtection="1">
      <alignment vertical="top"/>
      <protection locked="0"/>
    </xf>
    <xf numFmtId="165" fontId="23" fillId="20" borderId="6" xfId="9" applyNumberFormat="1" applyFont="1" applyFill="1" applyBorder="1" applyAlignment="1" applyProtection="1">
      <alignment horizontal="right" vertical="top"/>
      <protection locked="0"/>
    </xf>
    <xf numFmtId="165" fontId="23" fillId="0" borderId="0" xfId="9" applyNumberFormat="1" applyFont="1" applyBorder="1" applyAlignment="1" applyProtection="1">
      <alignment horizontal="center" vertical="center"/>
      <protection locked="0"/>
    </xf>
    <xf numFmtId="0" fontId="25" fillId="0" borderId="0" xfId="0" applyFont="1" applyBorder="1" applyAlignment="1" applyProtection="1">
      <alignment horizontal="left" vertical="top"/>
      <protection locked="0"/>
    </xf>
    <xf numFmtId="0" fontId="25" fillId="0" borderId="0" xfId="0" applyFont="1" applyBorder="1" applyAlignment="1" applyProtection="1">
      <alignment horizontal="right" vertical="top"/>
      <protection locked="0"/>
    </xf>
    <xf numFmtId="0" fontId="24" fillId="23" borderId="28" xfId="0" applyFont="1" applyFill="1" applyBorder="1" applyAlignment="1" applyProtection="1">
      <alignment horizontal="left" vertical="top"/>
      <protection locked="0"/>
    </xf>
    <xf numFmtId="0" fontId="25" fillId="0" borderId="0" xfId="0" applyFont="1" applyFill="1" applyBorder="1" applyAlignment="1" applyProtection="1">
      <alignment horizontal="left" vertical="top"/>
      <protection locked="0"/>
    </xf>
    <xf numFmtId="165" fontId="23" fillId="23" borderId="28" xfId="9" applyNumberFormat="1" applyFont="1" applyFill="1" applyBorder="1" applyAlignment="1" applyProtection="1">
      <alignment horizontal="right" vertical="top"/>
      <protection locked="0"/>
    </xf>
    <xf numFmtId="165" fontId="26" fillId="0" borderId="0" xfId="9" applyNumberFormat="1" applyFont="1" applyBorder="1" applyAlignment="1" applyProtection="1">
      <alignment horizontal="right" vertical="top"/>
      <protection locked="0"/>
    </xf>
    <xf numFmtId="0" fontId="25" fillId="0" borderId="0" xfId="0" applyFont="1" applyFill="1" applyBorder="1" applyAlignment="1" applyProtection="1">
      <alignment horizontal="right" vertical="top" wrapText="1"/>
      <protection locked="0"/>
    </xf>
    <xf numFmtId="0" fontId="23" fillId="0" borderId="0" xfId="0" applyFont="1" applyBorder="1" applyAlignment="1" applyProtection="1">
      <alignment horizontal="right" vertical="top" wrapText="1"/>
      <protection locked="0"/>
    </xf>
    <xf numFmtId="165" fontId="23" fillId="0" borderId="0" xfId="9" applyNumberFormat="1" applyFont="1" applyFill="1" applyBorder="1" applyAlignment="1" applyProtection="1">
      <alignment horizontal="right" vertical="top" wrapText="1"/>
      <protection locked="0"/>
    </xf>
    <xf numFmtId="165" fontId="23" fillId="0" borderId="0" xfId="9" applyNumberFormat="1" applyFont="1" applyBorder="1" applyAlignment="1" applyProtection="1">
      <alignment horizontal="right" vertical="top" wrapText="1"/>
      <protection locked="0"/>
    </xf>
    <xf numFmtId="165" fontId="28" fillId="0" borderId="0" xfId="9" applyNumberFormat="1" applyFont="1" applyBorder="1" applyAlignment="1" applyProtection="1">
      <alignment horizontal="right" vertical="top" wrapText="1"/>
      <protection locked="0"/>
    </xf>
    <xf numFmtId="165" fontId="23" fillId="20" borderId="0" xfId="9" applyNumberFormat="1" applyFont="1" applyFill="1" applyBorder="1" applyAlignment="1" applyProtection="1">
      <alignment horizontal="right" vertical="top"/>
      <protection locked="0"/>
    </xf>
    <xf numFmtId="0" fontId="23" fillId="0" borderId="20" xfId="0" applyFont="1" applyBorder="1" applyAlignment="1" applyProtection="1">
      <alignment horizontal="left" vertical="top"/>
      <protection locked="0"/>
    </xf>
    <xf numFmtId="0" fontId="23" fillId="0" borderId="20" xfId="0" applyFont="1" applyBorder="1" applyAlignment="1" applyProtection="1">
      <alignment horizontal="right" vertical="top"/>
      <protection locked="0"/>
    </xf>
    <xf numFmtId="165" fontId="23" fillId="0" borderId="20" xfId="9" applyNumberFormat="1" applyFont="1" applyBorder="1" applyAlignment="1" applyProtection="1">
      <alignment horizontal="right" vertical="top"/>
      <protection locked="0"/>
    </xf>
    <xf numFmtId="0" fontId="23" fillId="0" borderId="20" xfId="0" quotePrefix="1" applyFont="1" applyBorder="1" applyAlignment="1" applyProtection="1">
      <alignment horizontal="right"/>
      <protection locked="0"/>
    </xf>
    <xf numFmtId="165" fontId="23" fillId="20" borderId="42" xfId="9" applyNumberFormat="1" applyFont="1" applyFill="1" applyBorder="1" applyAlignment="1" applyProtection="1">
      <alignment horizontal="right" vertical="top"/>
      <protection locked="0"/>
    </xf>
    <xf numFmtId="165" fontId="23" fillId="0" borderId="16" xfId="9" applyNumberFormat="1" applyFont="1" applyFill="1" applyBorder="1" applyAlignment="1" applyProtection="1">
      <alignment horizontal="right" vertical="top"/>
      <protection locked="0"/>
    </xf>
    <xf numFmtId="0" fontId="23" fillId="0" borderId="0" xfId="0" applyFont="1" applyFill="1" applyBorder="1" applyAlignment="1" applyProtection="1">
      <alignment horizontal="right" vertical="top" wrapText="1"/>
      <protection locked="0"/>
    </xf>
    <xf numFmtId="0" fontId="23" fillId="2" borderId="0" xfId="0" applyFont="1" applyFill="1" applyBorder="1" applyAlignment="1" applyProtection="1">
      <alignment horizontal="left" vertical="top"/>
      <protection locked="0"/>
    </xf>
    <xf numFmtId="0" fontId="23" fillId="2" borderId="0" xfId="0" applyFont="1" applyFill="1" applyBorder="1" applyAlignment="1" applyProtection="1">
      <alignment horizontal="right" vertical="top" wrapText="1"/>
      <protection locked="0"/>
    </xf>
    <xf numFmtId="0" fontId="23" fillId="0" borderId="16" xfId="0" applyFont="1" applyFill="1" applyBorder="1" applyAlignment="1" applyProtection="1">
      <alignment horizontal="right" vertical="top" wrapText="1"/>
      <protection locked="0"/>
    </xf>
    <xf numFmtId="165" fontId="23" fillId="2" borderId="0" xfId="9" applyNumberFormat="1" applyFont="1" applyFill="1" applyBorder="1" applyAlignment="1" applyProtection="1">
      <alignment horizontal="right" vertical="top"/>
      <protection locked="0"/>
    </xf>
    <xf numFmtId="165" fontId="23" fillId="2" borderId="17" xfId="9" applyNumberFormat="1" applyFont="1" applyFill="1" applyBorder="1" applyAlignment="1" applyProtection="1">
      <alignment horizontal="right" vertical="top"/>
      <protection locked="0"/>
    </xf>
    <xf numFmtId="0" fontId="23" fillId="2" borderId="17" xfId="0" applyFont="1" applyFill="1" applyBorder="1" applyAlignment="1" applyProtection="1">
      <alignment horizontal="right"/>
      <protection locked="0"/>
    </xf>
    <xf numFmtId="0" fontId="25" fillId="0" borderId="17" xfId="0" applyFont="1" applyFill="1" applyBorder="1" applyAlignment="1" applyProtection="1">
      <alignment horizontal="left"/>
      <protection locked="0"/>
    </xf>
    <xf numFmtId="0" fontId="23" fillId="0" borderId="17" xfId="0" applyFont="1" applyFill="1" applyBorder="1" applyAlignment="1" applyProtection="1">
      <alignment horizontal="right" vertical="top" wrapText="1"/>
      <protection locked="0"/>
    </xf>
    <xf numFmtId="0" fontId="23" fillId="23" borderId="37" xfId="0" applyFont="1" applyFill="1" applyBorder="1" applyAlignment="1" applyProtection="1">
      <alignment horizontal="center"/>
      <protection locked="0"/>
    </xf>
    <xf numFmtId="165" fontId="23" fillId="23" borderId="18" xfId="9" applyNumberFormat="1" applyFont="1" applyFill="1" applyBorder="1" applyAlignment="1" applyProtection="1">
      <alignment horizontal="right" vertical="top"/>
      <protection locked="0"/>
    </xf>
    <xf numFmtId="0" fontId="44" fillId="5" borderId="4" xfId="0" applyFont="1" applyFill="1" applyBorder="1" applyAlignment="1" applyProtection="1">
      <alignment horizontal="center" vertical="top"/>
      <protection locked="0"/>
    </xf>
    <xf numFmtId="0" fontId="44" fillId="5" borderId="4" xfId="0" applyFont="1" applyFill="1" applyBorder="1" applyAlignment="1" applyProtection="1">
      <alignment horizontal="center" vertical="center"/>
      <protection locked="0"/>
    </xf>
    <xf numFmtId="0" fontId="44" fillId="5" borderId="26" xfId="0" applyFont="1" applyFill="1" applyBorder="1" applyAlignment="1" applyProtection="1">
      <alignment horizontal="center"/>
      <protection locked="0"/>
    </xf>
    <xf numFmtId="0" fontId="23" fillId="0" borderId="16" xfId="0" applyFont="1" applyFill="1" applyBorder="1" applyAlignment="1" applyProtection="1">
      <alignment horizontal="left" vertical="top"/>
      <protection locked="0"/>
    </xf>
    <xf numFmtId="165" fontId="23" fillId="0" borderId="16" xfId="9" applyNumberFormat="1" applyFont="1" applyFill="1" applyBorder="1" applyAlignment="1" applyProtection="1">
      <alignment horizontal="right" vertical="top" wrapText="1"/>
      <protection locked="0"/>
    </xf>
    <xf numFmtId="165" fontId="23" fillId="0" borderId="16" xfId="9" applyNumberFormat="1" applyFont="1" applyBorder="1" applyAlignment="1" applyProtection="1">
      <alignment horizontal="right" vertical="top"/>
      <protection locked="0"/>
    </xf>
    <xf numFmtId="0" fontId="44" fillId="5" borderId="0" xfId="0" applyFont="1" applyFill="1" applyBorder="1" applyAlignment="1" applyProtection="1">
      <alignment horizontal="center"/>
      <protection locked="0"/>
    </xf>
    <xf numFmtId="0" fontId="23"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right" vertical="center" wrapText="1"/>
      <protection locked="0"/>
    </xf>
    <xf numFmtId="0" fontId="23" fillId="0" borderId="0" xfId="0" applyFont="1" applyAlignment="1" applyProtection="1">
      <alignment horizontal="center" vertical="center"/>
      <protection locked="0"/>
    </xf>
    <xf numFmtId="165" fontId="23" fillId="0" borderId="0" xfId="9" applyNumberFormat="1" applyFont="1" applyBorder="1" applyAlignment="1" applyProtection="1">
      <alignment horizontal="right" vertical="center"/>
      <protection locked="0"/>
    </xf>
    <xf numFmtId="0" fontId="24" fillId="0" borderId="0" xfId="0" applyFont="1" applyAlignment="1" applyProtection="1">
      <alignment horizontal="left" wrapText="1"/>
      <protection locked="0"/>
    </xf>
    <xf numFmtId="165" fontId="23" fillId="22" borderId="19" xfId="9" applyNumberFormat="1" applyFont="1" applyFill="1" applyBorder="1" applyAlignment="1" applyProtection="1">
      <alignment horizontal="right" vertical="top"/>
      <protection locked="0"/>
    </xf>
    <xf numFmtId="165" fontId="22" fillId="0" borderId="30" xfId="9" applyNumberFormat="1" applyFont="1" applyBorder="1" applyAlignment="1" applyProtection="1">
      <alignment vertical="top"/>
      <protection hidden="1"/>
    </xf>
    <xf numFmtId="165" fontId="22" fillId="0" borderId="30" xfId="9" applyNumberFormat="1" applyFont="1" applyFill="1" applyBorder="1" applyAlignment="1" applyProtection="1">
      <alignment vertical="top"/>
      <protection hidden="1"/>
    </xf>
    <xf numFmtId="165" fontId="23" fillId="20" borderId="4" xfId="9" applyNumberFormat="1" applyFont="1" applyFill="1" applyBorder="1" applyAlignment="1" applyProtection="1">
      <alignment vertical="top" wrapText="1"/>
      <protection locked="0"/>
    </xf>
    <xf numFmtId="165" fontId="22" fillId="0" borderId="30" xfId="9" applyNumberFormat="1" applyFont="1" applyBorder="1" applyAlignment="1" applyProtection="1">
      <alignment vertical="top" wrapText="1"/>
      <protection hidden="1"/>
    </xf>
    <xf numFmtId="165" fontId="22" fillId="0" borderId="0" xfId="9" applyNumberFormat="1" applyFont="1" applyBorder="1" applyAlignment="1" applyProtection="1">
      <alignment horizontal="right" vertical="top"/>
      <protection hidden="1"/>
    </xf>
    <xf numFmtId="165" fontId="22" fillId="0" borderId="33" xfId="9" applyNumberFormat="1" applyFont="1" applyBorder="1" applyAlignment="1" applyProtection="1">
      <alignment horizontal="right" vertical="top"/>
      <protection hidden="1"/>
    </xf>
    <xf numFmtId="165" fontId="23" fillId="21" borderId="29" xfId="9" applyNumberFormat="1" applyFont="1" applyFill="1" applyBorder="1" applyAlignment="1" applyProtection="1">
      <alignment horizontal="right" vertical="top"/>
      <protection locked="0"/>
    </xf>
    <xf numFmtId="165" fontId="30" fillId="23" borderId="19" xfId="9" applyNumberFormat="1" applyFont="1" applyFill="1" applyBorder="1" applyAlignment="1" applyProtection="1">
      <alignment horizontal="right" vertical="top"/>
      <protection locked="0"/>
    </xf>
    <xf numFmtId="165" fontId="23" fillId="22" borderId="11" xfId="9" applyNumberFormat="1" applyFont="1" applyFill="1" applyBorder="1" applyAlignment="1" applyProtection="1">
      <alignment horizontal="right" vertical="top"/>
      <protection hidden="1"/>
    </xf>
    <xf numFmtId="165" fontId="23" fillId="22" borderId="4" xfId="9" applyNumberFormat="1" applyFont="1" applyFill="1" applyBorder="1" applyAlignment="1" applyProtection="1">
      <alignment horizontal="right" vertical="top"/>
      <protection hidden="1"/>
    </xf>
    <xf numFmtId="165" fontId="23" fillId="22" borderId="6" xfId="9" applyNumberFormat="1" applyFont="1" applyFill="1" applyBorder="1" applyAlignment="1" applyProtection="1">
      <alignment horizontal="right" vertical="top"/>
      <protection hidden="1"/>
    </xf>
    <xf numFmtId="165" fontId="23" fillId="30" borderId="4" xfId="9" applyNumberFormat="1" applyFont="1" applyFill="1" applyBorder="1" applyAlignment="1" applyProtection="1">
      <alignment horizontal="right" vertical="top"/>
      <protection hidden="1"/>
    </xf>
    <xf numFmtId="165" fontId="22" fillId="0" borderId="30" xfId="9" applyNumberFormat="1" applyFont="1" applyFill="1" applyBorder="1" applyAlignment="1" applyProtection="1">
      <alignment horizontal="right" vertical="top"/>
      <protection hidden="1"/>
    </xf>
    <xf numFmtId="165" fontId="23" fillId="0" borderId="35" xfId="9" applyNumberFormat="1" applyFont="1" applyBorder="1" applyAlignment="1" applyProtection="1">
      <alignment vertical="top"/>
      <protection locked="0"/>
    </xf>
    <xf numFmtId="165" fontId="22" fillId="0" borderId="4" xfId="9" applyNumberFormat="1" applyFont="1" applyBorder="1" applyAlignment="1" applyProtection="1">
      <alignment horizontal="right" vertical="top"/>
      <protection hidden="1"/>
    </xf>
    <xf numFmtId="165" fontId="23" fillId="0" borderId="0" xfId="9" applyNumberFormat="1" applyFont="1" applyBorder="1" applyAlignment="1" applyProtection="1">
      <alignment horizontal="right" vertical="top"/>
      <protection hidden="1"/>
    </xf>
    <xf numFmtId="165" fontId="23" fillId="0" borderId="24" xfId="14" applyNumberFormat="1" applyFont="1" applyBorder="1" applyAlignment="1" applyProtection="1">
      <alignment horizontal="center"/>
      <protection hidden="1"/>
    </xf>
    <xf numFmtId="0" fontId="23" fillId="0" borderId="24" xfId="0" applyFont="1" applyBorder="1" applyAlignment="1" applyProtection="1">
      <alignment horizontal="center"/>
      <protection hidden="1"/>
    </xf>
    <xf numFmtId="165" fontId="23" fillId="0" borderId="24" xfId="9" applyNumberFormat="1" applyFont="1" applyBorder="1" applyProtection="1">
      <protection hidden="1"/>
    </xf>
    <xf numFmtId="165" fontId="22" fillId="0" borderId="43" xfId="9" applyNumberFormat="1" applyFont="1" applyBorder="1" applyAlignment="1" applyProtection="1">
      <alignment horizontal="right" vertical="top"/>
      <protection hidden="1"/>
    </xf>
    <xf numFmtId="0" fontId="23" fillId="0" borderId="0" xfId="12" applyFont="1" applyAlignment="1" applyProtection="1">
      <alignment horizontal="left"/>
      <protection locked="0"/>
    </xf>
    <xf numFmtId="0" fontId="23" fillId="0" borderId="0" xfId="0" applyFont="1" applyFill="1" applyBorder="1" applyAlignment="1" applyProtection="1">
      <alignment horizontal="right" vertical="top"/>
      <protection locked="0"/>
    </xf>
    <xf numFmtId="0" fontId="23" fillId="0" borderId="0" xfId="0" applyFont="1" applyAlignment="1" applyProtection="1">
      <alignment horizontal="left"/>
      <protection locked="0"/>
    </xf>
    <xf numFmtId="0" fontId="24" fillId="0" borderId="0" xfId="12" applyFont="1" applyBorder="1" applyAlignment="1" applyProtection="1">
      <alignment horizontal="right"/>
      <protection locked="0"/>
    </xf>
    <xf numFmtId="10" fontId="23" fillId="0" borderId="0" xfId="2" applyNumberFormat="1" applyFont="1" applyBorder="1" applyAlignment="1" applyProtection="1">
      <alignment horizontal="left"/>
      <protection locked="0"/>
    </xf>
    <xf numFmtId="0" fontId="22" fillId="0" borderId="25" xfId="0" applyFont="1" applyBorder="1" applyAlignment="1" applyProtection="1">
      <alignment horizontal="left" vertical="top"/>
      <protection locked="0"/>
    </xf>
    <xf numFmtId="0" fontId="23" fillId="0" borderId="16" xfId="0" applyFont="1" applyBorder="1" applyAlignment="1" applyProtection="1">
      <alignment horizontal="right" vertical="top"/>
      <protection locked="0"/>
    </xf>
    <xf numFmtId="0" fontId="23" fillId="0" borderId="0" xfId="0" applyFont="1" applyBorder="1" applyAlignment="1" applyProtection="1">
      <alignment horizontal="right" vertical="top"/>
      <protection hidden="1"/>
    </xf>
    <xf numFmtId="165" fontId="23" fillId="11" borderId="0" xfId="9" applyNumberFormat="1" applyFont="1" applyFill="1" applyBorder="1" applyAlignment="1" applyProtection="1">
      <alignment horizontal="right" vertical="top"/>
      <protection hidden="1"/>
    </xf>
    <xf numFmtId="0" fontId="23" fillId="0" borderId="0" xfId="0" quotePrefix="1" applyFont="1" applyAlignment="1" applyProtection="1">
      <alignment horizontal="right"/>
      <protection hidden="1"/>
    </xf>
    <xf numFmtId="10" fontId="23" fillId="13" borderId="0" xfId="0" applyNumberFormat="1" applyFont="1" applyFill="1" applyAlignment="1" applyProtection="1">
      <alignment horizontal="center"/>
      <protection hidden="1"/>
    </xf>
    <xf numFmtId="165" fontId="22" fillId="0" borderId="32" xfId="9" applyNumberFormat="1" applyFont="1" applyBorder="1" applyAlignment="1" applyProtection="1">
      <alignment horizontal="right" vertical="top"/>
      <protection hidden="1"/>
    </xf>
    <xf numFmtId="165" fontId="23" fillId="0" borderId="0" xfId="0" applyNumberFormat="1" applyFont="1" applyBorder="1" applyAlignment="1" applyProtection="1">
      <alignment horizontal="center"/>
      <protection locked="0"/>
    </xf>
    <xf numFmtId="165" fontId="22" fillId="0" borderId="4" xfId="9" applyNumberFormat="1" applyFont="1" applyBorder="1" applyAlignment="1" applyProtection="1">
      <alignment vertical="top"/>
      <protection locked="0"/>
    </xf>
    <xf numFmtId="0" fontId="22" fillId="0" borderId="1" xfId="0" applyFont="1" applyBorder="1" applyAlignment="1" applyProtection="1">
      <alignment horizontal="left" vertical="top"/>
      <protection locked="0"/>
    </xf>
    <xf numFmtId="0" fontId="22" fillId="0" borderId="1" xfId="0" applyFont="1" applyBorder="1" applyAlignment="1" applyProtection="1">
      <alignment horizontal="right" vertical="top"/>
      <protection locked="0"/>
    </xf>
    <xf numFmtId="0" fontId="23" fillId="0" borderId="1" xfId="0" applyFont="1" applyBorder="1" applyAlignment="1" applyProtection="1">
      <alignment horizontal="center"/>
      <protection locked="0"/>
    </xf>
    <xf numFmtId="165" fontId="23" fillId="0" borderId="1" xfId="0" applyNumberFormat="1" applyFont="1" applyBorder="1" applyAlignment="1" applyProtection="1">
      <alignment horizontal="center"/>
      <protection locked="0"/>
    </xf>
    <xf numFmtId="165" fontId="23" fillId="0" borderId="1" xfId="9" applyNumberFormat="1" applyFont="1" applyBorder="1" applyAlignment="1" applyProtection="1">
      <alignment horizontal="right" vertical="top"/>
      <protection locked="0"/>
    </xf>
    <xf numFmtId="165" fontId="22" fillId="0" borderId="31" xfId="9" applyNumberFormat="1" applyFont="1" applyBorder="1" applyAlignment="1" applyProtection="1">
      <alignment horizontal="right" vertical="top"/>
      <protection hidden="1"/>
    </xf>
    <xf numFmtId="0" fontId="23" fillId="0" borderId="3" xfId="0" applyFont="1" applyBorder="1" applyAlignment="1" applyProtection="1">
      <alignment horizontal="right"/>
      <protection locked="0"/>
    </xf>
    <xf numFmtId="0" fontId="23" fillId="0" borderId="0" xfId="0" applyFont="1" applyBorder="1" applyAlignment="1" applyProtection="1">
      <alignment horizontal="right"/>
      <protection locked="0"/>
    </xf>
    <xf numFmtId="0" fontId="24" fillId="0" borderId="0" xfId="0" applyFont="1" applyAlignment="1" applyProtection="1">
      <alignment horizontal="left"/>
      <protection locked="0"/>
    </xf>
    <xf numFmtId="0" fontId="33" fillId="0" borderId="0" xfId="0" applyFont="1" applyFill="1" applyAlignment="1" applyProtection="1">
      <alignment horizontal="left"/>
      <protection locked="0"/>
    </xf>
    <xf numFmtId="165" fontId="23" fillId="0" borderId="0" xfId="0" applyNumberFormat="1" applyFont="1" applyFill="1" applyAlignment="1" applyProtection="1">
      <alignment horizontal="center"/>
      <protection locked="0"/>
    </xf>
    <xf numFmtId="0" fontId="22" fillId="0" borderId="0" xfId="0" applyFont="1" applyBorder="1" applyAlignment="1" applyProtection="1">
      <alignment horizontal="left" vertical="top"/>
      <protection locked="0"/>
    </xf>
    <xf numFmtId="0" fontId="22" fillId="0" borderId="0" xfId="0" applyFont="1" applyBorder="1" applyAlignment="1" applyProtection="1">
      <alignment horizontal="right" vertical="top"/>
      <protection locked="0"/>
    </xf>
    <xf numFmtId="0" fontId="22" fillId="23" borderId="22" xfId="0" applyFont="1" applyFill="1" applyBorder="1" applyAlignment="1" applyProtection="1">
      <alignment horizontal="left" vertical="top"/>
      <protection locked="0"/>
    </xf>
    <xf numFmtId="0" fontId="23" fillId="23" borderId="17" xfId="0" applyFont="1" applyFill="1" applyBorder="1" applyAlignment="1" applyProtection="1">
      <alignment horizontal="right" vertical="top"/>
      <protection locked="0"/>
    </xf>
    <xf numFmtId="165" fontId="23" fillId="23" borderId="17" xfId="9" applyNumberFormat="1" applyFont="1" applyFill="1" applyBorder="1" applyAlignment="1" applyProtection="1">
      <alignment horizontal="right" vertical="top"/>
      <protection locked="0"/>
    </xf>
    <xf numFmtId="166" fontId="23" fillId="0" borderId="0" xfId="2" applyNumberFormat="1" applyFont="1" applyBorder="1" applyAlignment="1" applyProtection="1">
      <alignment horizontal="right" vertical="top"/>
      <protection locked="0"/>
    </xf>
    <xf numFmtId="0" fontId="23" fillId="0" borderId="24" xfId="0" applyFont="1" applyBorder="1" applyAlignment="1" applyProtection="1">
      <alignment horizontal="center"/>
      <protection locked="0"/>
    </xf>
    <xf numFmtId="166" fontId="23" fillId="0" borderId="24" xfId="2" applyNumberFormat="1" applyFont="1" applyBorder="1" applyAlignment="1" applyProtection="1">
      <alignment horizontal="center"/>
      <protection locked="0"/>
    </xf>
    <xf numFmtId="0" fontId="23" fillId="2" borderId="0" xfId="0" applyFont="1" applyFill="1" applyAlignment="1" applyProtection="1">
      <alignment vertical="top"/>
      <protection locked="0"/>
    </xf>
    <xf numFmtId="0" fontId="22" fillId="2" borderId="0" xfId="0" applyFont="1" applyFill="1" applyBorder="1" applyAlignment="1" applyProtection="1">
      <alignment vertical="top"/>
      <protection locked="0"/>
    </xf>
    <xf numFmtId="0" fontId="23" fillId="6" borderId="0" xfId="0" applyFont="1" applyFill="1" applyAlignment="1" applyProtection="1">
      <alignment vertical="top"/>
      <protection locked="0"/>
    </xf>
    <xf numFmtId="0" fontId="22" fillId="6" borderId="0" xfId="0" applyFont="1" applyFill="1" applyBorder="1" applyAlignment="1" applyProtection="1">
      <alignment vertical="top"/>
      <protection locked="0"/>
    </xf>
    <xf numFmtId="9" fontId="38" fillId="24" borderId="7" xfId="2" applyFont="1" applyFill="1" applyBorder="1" applyAlignment="1" applyProtection="1">
      <alignment horizontal="center"/>
      <protection locked="0"/>
    </xf>
    <xf numFmtId="9" fontId="38" fillId="24" borderId="9" xfId="2" applyFont="1" applyFill="1" applyBorder="1" applyAlignment="1" applyProtection="1">
      <alignment horizontal="center"/>
      <protection locked="0"/>
    </xf>
    <xf numFmtId="0" fontId="22" fillId="14" borderId="13" xfId="0" applyFont="1" applyFill="1" applyBorder="1" applyAlignment="1" applyProtection="1">
      <alignment horizontal="center" vertical="top"/>
      <protection locked="0"/>
    </xf>
    <xf numFmtId="0" fontId="23" fillId="5" borderId="0" xfId="0" applyFont="1" applyFill="1" applyAlignment="1" applyProtection="1">
      <alignment vertical="top"/>
      <protection locked="0"/>
    </xf>
    <xf numFmtId="0" fontId="22" fillId="5" borderId="0" xfId="0" applyFont="1" applyFill="1" applyBorder="1" applyAlignment="1" applyProtection="1">
      <alignment horizontal="center" vertical="top"/>
      <protection locked="0"/>
    </xf>
    <xf numFmtId="0" fontId="22" fillId="5" borderId="0" xfId="0" applyFont="1" applyFill="1" applyBorder="1" applyAlignment="1" applyProtection="1">
      <alignment vertical="top"/>
      <protection locked="0"/>
    </xf>
    <xf numFmtId="0" fontId="42" fillId="5" borderId="0" xfId="0" applyFont="1" applyFill="1" applyAlignment="1" applyProtection="1">
      <alignment horizontal="left" vertical="top"/>
      <protection locked="0"/>
    </xf>
    <xf numFmtId="0" fontId="43" fillId="5" borderId="0" xfId="0" applyFont="1" applyFill="1" applyAlignment="1" applyProtection="1">
      <alignment horizontal="left" vertical="top"/>
      <protection locked="0"/>
    </xf>
    <xf numFmtId="0" fontId="25" fillId="6" borderId="0" xfId="0" applyFont="1" applyFill="1" applyAlignment="1" applyProtection="1">
      <alignment horizontal="center"/>
      <protection locked="0"/>
    </xf>
    <xf numFmtId="10" fontId="23" fillId="14" borderId="13" xfId="2" applyNumberFormat="1" applyFont="1" applyFill="1" applyBorder="1" applyAlignment="1" applyProtection="1">
      <alignment horizontal="right"/>
      <protection locked="0"/>
    </xf>
    <xf numFmtId="0" fontId="23" fillId="2" borderId="0" xfId="0" applyFont="1" applyFill="1" applyAlignment="1" applyProtection="1">
      <alignment horizontal="left"/>
      <protection locked="0"/>
    </xf>
    <xf numFmtId="1" fontId="23" fillId="2" borderId="0" xfId="0" applyNumberFormat="1" applyFont="1" applyFill="1" applyBorder="1" applyAlignment="1" applyProtection="1">
      <alignment horizontal="right"/>
      <protection locked="0"/>
    </xf>
    <xf numFmtId="1" fontId="23" fillId="14" borderId="13" xfId="0" applyNumberFormat="1" applyFont="1" applyFill="1" applyBorder="1" applyAlignment="1" applyProtection="1">
      <alignment horizontal="right"/>
      <protection locked="0"/>
    </xf>
    <xf numFmtId="0" fontId="23" fillId="5" borderId="0" xfId="0" applyFont="1" applyFill="1" applyAlignment="1" applyProtection="1">
      <alignment horizontal="left"/>
      <protection locked="0"/>
    </xf>
    <xf numFmtId="0" fontId="25" fillId="6" borderId="0" xfId="0" applyFont="1" applyFill="1" applyAlignment="1" applyProtection="1">
      <alignment horizontal="right" vertical="top"/>
      <protection locked="0"/>
    </xf>
    <xf numFmtId="165" fontId="23" fillId="14" borderId="13" xfId="9" applyNumberFormat="1" applyFont="1" applyFill="1" applyBorder="1" applyAlignment="1" applyProtection="1">
      <alignment horizontal="right"/>
      <protection locked="0"/>
    </xf>
    <xf numFmtId="0" fontId="38" fillId="6" borderId="0" xfId="10" applyFont="1" applyFill="1" applyAlignment="1" applyProtection="1">
      <alignment horizontal="right"/>
      <protection locked="0"/>
    </xf>
    <xf numFmtId="37" fontId="23" fillId="14" borderId="13" xfId="0" applyNumberFormat="1" applyFont="1" applyFill="1" applyBorder="1" applyAlignment="1" applyProtection="1">
      <alignment horizontal="center"/>
      <protection locked="0"/>
    </xf>
    <xf numFmtId="0" fontId="24" fillId="6" borderId="0" xfId="0" applyFont="1" applyFill="1" applyAlignment="1" applyProtection="1">
      <alignment horizontal="left"/>
      <protection locked="0"/>
    </xf>
    <xf numFmtId="0" fontId="23" fillId="6" borderId="0" xfId="0" applyFont="1" applyFill="1" applyBorder="1" applyAlignment="1" applyProtection="1">
      <alignment horizontal="center"/>
      <protection locked="0"/>
    </xf>
    <xf numFmtId="37" fontId="23" fillId="14" borderId="13" xfId="9" applyNumberFormat="1" applyFont="1" applyFill="1" applyBorder="1" applyAlignment="1" applyProtection="1">
      <alignment horizontal="right"/>
      <protection locked="0"/>
    </xf>
    <xf numFmtId="165" fontId="23" fillId="6" borderId="0" xfId="9" applyNumberFormat="1" applyFont="1" applyFill="1" applyAlignment="1" applyProtection="1">
      <alignment horizontal="left"/>
      <protection locked="0"/>
    </xf>
    <xf numFmtId="0" fontId="44" fillId="6" borderId="0" xfId="0" applyFont="1" applyFill="1" applyAlignment="1" applyProtection="1">
      <alignment horizontal="left" vertical="top"/>
      <protection locked="0"/>
    </xf>
    <xf numFmtId="0" fontId="23" fillId="6" borderId="0" xfId="0" applyFont="1" applyFill="1" applyAlignment="1" applyProtection="1">
      <alignment horizontal="left" vertical="top"/>
      <protection locked="0"/>
    </xf>
    <xf numFmtId="0" fontId="23" fillId="6" borderId="0" xfId="0" applyFont="1" applyFill="1" applyBorder="1" applyAlignment="1" applyProtection="1">
      <alignment horizontal="left"/>
      <protection locked="0"/>
    </xf>
    <xf numFmtId="0" fontId="25" fillId="2" borderId="0" xfId="0" applyFont="1" applyFill="1" applyAlignment="1" applyProtection="1">
      <alignment horizontal="center"/>
      <protection locked="0"/>
    </xf>
    <xf numFmtId="0" fontId="38" fillId="2" borderId="0" xfId="10" applyFont="1" applyFill="1" applyAlignment="1" applyProtection="1">
      <alignment horizontal="left" vertical="top"/>
      <protection locked="0"/>
    </xf>
    <xf numFmtId="0" fontId="23" fillId="14" borderId="0" xfId="0" applyFont="1" applyFill="1" applyAlignment="1" applyProtection="1">
      <alignment horizontal="center"/>
      <protection locked="0"/>
    </xf>
    <xf numFmtId="166" fontId="23" fillId="14" borderId="13" xfId="2" applyNumberFormat="1" applyFont="1" applyFill="1" applyBorder="1" applyAlignment="1" applyProtection="1">
      <alignment horizontal="left"/>
      <protection locked="0"/>
    </xf>
    <xf numFmtId="0" fontId="23" fillId="4" borderId="0" xfId="0" applyFont="1" applyFill="1" applyBorder="1" applyAlignment="1" applyProtection="1">
      <alignment horizontal="left"/>
      <protection locked="0"/>
    </xf>
    <xf numFmtId="0" fontId="23" fillId="4" borderId="0" xfId="0" applyFont="1" applyFill="1" applyBorder="1" applyAlignment="1" applyProtection="1">
      <alignment horizontal="center"/>
      <protection locked="0"/>
    </xf>
    <xf numFmtId="0" fontId="23" fillId="8" borderId="0" xfId="0" applyFont="1" applyFill="1" applyBorder="1" applyAlignment="1" applyProtection="1">
      <alignment horizontal="left"/>
      <protection locked="0"/>
    </xf>
    <xf numFmtId="0" fontId="23" fillId="8" borderId="0" xfId="0" applyFont="1" applyFill="1" applyBorder="1" applyAlignment="1" applyProtection="1">
      <alignment horizontal="center"/>
      <protection locked="0"/>
    </xf>
    <xf numFmtId="0" fontId="59" fillId="16" borderId="12" xfId="0" applyFont="1" applyFill="1" applyBorder="1" applyAlignment="1" applyProtection="1">
      <alignment horizontal="left" vertical="top"/>
      <protection locked="0"/>
    </xf>
    <xf numFmtId="0" fontId="23" fillId="16" borderId="12" xfId="0" applyFont="1" applyFill="1" applyBorder="1" applyAlignment="1" applyProtection="1">
      <alignment horizontal="left"/>
      <protection locked="0"/>
    </xf>
    <xf numFmtId="0" fontId="23" fillId="16" borderId="12" xfId="0" applyFont="1" applyFill="1" applyBorder="1" applyAlignment="1" applyProtection="1">
      <alignment horizontal="center"/>
      <protection locked="0"/>
    </xf>
    <xf numFmtId="0" fontId="23" fillId="0" borderId="0" xfId="0" applyFont="1" applyFill="1" applyAlignment="1" applyProtection="1">
      <alignment horizontal="left"/>
      <protection locked="0"/>
    </xf>
    <xf numFmtId="165" fontId="23" fillId="0" borderId="0" xfId="9" applyNumberFormat="1" applyFont="1" applyAlignment="1" applyProtection="1">
      <alignment horizontal="left"/>
      <protection locked="0"/>
    </xf>
    <xf numFmtId="0" fontId="23" fillId="10" borderId="0" xfId="0" applyFont="1" applyFill="1" applyAlignment="1" applyProtection="1">
      <alignment horizontal="left"/>
      <protection locked="0"/>
    </xf>
    <xf numFmtId="0" fontId="65" fillId="0" borderId="0" xfId="12" applyFont="1" applyAlignment="1" applyProtection="1">
      <alignment horizontal="left"/>
      <protection locked="0"/>
    </xf>
    <xf numFmtId="165" fontId="23" fillId="0" borderId="0" xfId="14" applyNumberFormat="1" applyFont="1" applyAlignment="1" applyProtection="1">
      <alignment horizontal="center"/>
      <protection locked="0"/>
    </xf>
    <xf numFmtId="0" fontId="16" fillId="0" borderId="0" xfId="12" applyProtection="1">
      <protection locked="0"/>
    </xf>
    <xf numFmtId="166" fontId="23" fillId="0" borderId="0" xfId="2" applyNumberFormat="1" applyFont="1" applyAlignment="1" applyProtection="1">
      <alignment horizontal="center"/>
      <protection locked="0"/>
    </xf>
    <xf numFmtId="43" fontId="23" fillId="0" borderId="0" xfId="14" applyFont="1" applyAlignment="1" applyProtection="1">
      <alignment horizontal="center"/>
      <protection locked="0"/>
    </xf>
    <xf numFmtId="165" fontId="22" fillId="0" borderId="0" xfId="14" applyNumberFormat="1" applyFont="1" applyAlignment="1" applyProtection="1">
      <alignment horizontal="center"/>
      <protection locked="0"/>
    </xf>
    <xf numFmtId="0" fontId="23" fillId="0" borderId="0" xfId="12" applyFont="1" applyAlignment="1" applyProtection="1">
      <alignment horizontal="center"/>
      <protection locked="0"/>
    </xf>
    <xf numFmtId="0" fontId="22" fillId="0" borderId="0" xfId="12" applyFont="1" applyAlignment="1" applyProtection="1">
      <alignment horizontal="left"/>
      <protection locked="0"/>
    </xf>
    <xf numFmtId="165" fontId="23" fillId="22" borderId="29" xfId="9" applyNumberFormat="1" applyFont="1" applyFill="1" applyBorder="1" applyAlignment="1" applyProtection="1">
      <alignment horizontal="right" vertical="top"/>
      <protection locked="0"/>
    </xf>
    <xf numFmtId="9" fontId="66" fillId="0" borderId="3" xfId="2" applyFont="1" applyFill="1" applyBorder="1" applyAlignment="1" applyProtection="1">
      <alignment horizontal="center"/>
      <protection locked="0"/>
    </xf>
    <xf numFmtId="9" fontId="66" fillId="0" borderId="0" xfId="2" applyFont="1" applyFill="1" applyBorder="1" applyAlignment="1" applyProtection="1">
      <alignment horizontal="center"/>
      <protection locked="0"/>
    </xf>
    <xf numFmtId="9" fontId="66" fillId="27" borderId="0" xfId="2" applyFont="1" applyFill="1" applyBorder="1" applyAlignment="1" applyProtection="1">
      <alignment horizontal="center"/>
      <protection locked="0"/>
    </xf>
    <xf numFmtId="0" fontId="23" fillId="27" borderId="0" xfId="0" applyFont="1" applyFill="1" applyBorder="1" applyAlignment="1" applyProtection="1">
      <alignment horizontal="center"/>
      <protection locked="0"/>
    </xf>
    <xf numFmtId="0" fontId="23" fillId="0" borderId="3" xfId="0" applyFont="1" applyBorder="1" applyAlignment="1" applyProtection="1">
      <alignment horizontal="center"/>
      <protection locked="0"/>
    </xf>
    <xf numFmtId="9" fontId="23" fillId="0" borderId="0" xfId="0" applyNumberFormat="1" applyFont="1" applyBorder="1" applyAlignment="1" applyProtection="1">
      <alignment horizontal="center"/>
      <protection locked="0"/>
    </xf>
    <xf numFmtId="0" fontId="22" fillId="0" borderId="3" xfId="0" applyFont="1" applyBorder="1" applyAlignment="1" applyProtection="1">
      <alignment horizontal="center"/>
      <protection locked="0"/>
    </xf>
    <xf numFmtId="9" fontId="23" fillId="0" borderId="0" xfId="2" applyFont="1" applyBorder="1" applyAlignment="1" applyProtection="1">
      <alignment horizontal="center"/>
      <protection hidden="1"/>
    </xf>
    <xf numFmtId="9" fontId="23" fillId="0" borderId="0" xfId="0" applyNumberFormat="1" applyFont="1" applyFill="1" applyBorder="1" applyAlignment="1" applyProtection="1">
      <alignment horizontal="center"/>
      <protection locked="0"/>
    </xf>
    <xf numFmtId="9" fontId="23" fillId="0" borderId="4" xfId="2" applyFont="1" applyFill="1" applyBorder="1" applyAlignment="1" applyProtection="1">
      <alignment horizontal="center"/>
      <protection locked="0"/>
    </xf>
    <xf numFmtId="165" fontId="37" fillId="0" borderId="0" xfId="9" applyNumberFormat="1" applyFont="1" applyFill="1" applyBorder="1" applyAlignment="1" applyProtection="1">
      <alignment vertical="top"/>
      <protection locked="0"/>
    </xf>
    <xf numFmtId="9" fontId="22" fillId="0" borderId="1" xfId="2" applyFont="1" applyBorder="1" applyAlignment="1" applyProtection="1">
      <alignment horizontal="center"/>
      <protection locked="0"/>
    </xf>
    <xf numFmtId="9" fontId="23" fillId="0" borderId="6" xfId="2" applyFont="1" applyBorder="1" applyAlignment="1" applyProtection="1">
      <alignment horizontal="center"/>
      <protection locked="0"/>
    </xf>
    <xf numFmtId="165" fontId="37" fillId="26" borderId="2" xfId="9" applyNumberFormat="1" applyFont="1" applyFill="1" applyBorder="1" applyAlignment="1" applyProtection="1">
      <alignment vertical="top"/>
      <protection locked="0"/>
    </xf>
    <xf numFmtId="9" fontId="22" fillId="0" borderId="0" xfId="2" applyFont="1" applyFill="1" applyBorder="1" applyAlignment="1" applyProtection="1">
      <alignment horizontal="center"/>
      <protection locked="0"/>
    </xf>
    <xf numFmtId="9" fontId="23" fillId="2" borderId="0" xfId="2" applyFont="1" applyFill="1" applyBorder="1" applyAlignment="1" applyProtection="1">
      <alignment horizontal="center"/>
      <protection locked="0"/>
    </xf>
    <xf numFmtId="9" fontId="23" fillId="22" borderId="20" xfId="2" applyFont="1" applyFill="1" applyBorder="1" applyAlignment="1" applyProtection="1">
      <alignment horizontal="right" vertical="top"/>
      <protection locked="0"/>
    </xf>
    <xf numFmtId="0" fontId="23" fillId="0" borderId="5" xfId="0" applyFont="1" applyBorder="1" applyAlignment="1" applyProtection="1">
      <alignment horizontal="center"/>
      <protection locked="0"/>
    </xf>
    <xf numFmtId="0" fontId="24" fillId="0" borderId="1" xfId="0" applyFont="1" applyBorder="1" applyAlignment="1" applyProtection="1">
      <alignment horizontal="left"/>
      <protection locked="0"/>
    </xf>
    <xf numFmtId="9" fontId="23" fillId="0" borderId="1" xfId="2" applyFont="1" applyBorder="1" applyAlignment="1" applyProtection="1">
      <alignment horizontal="center"/>
      <protection locked="0"/>
    </xf>
    <xf numFmtId="9" fontId="23" fillId="0" borderId="1" xfId="0" applyNumberFormat="1" applyFont="1" applyBorder="1" applyAlignment="1" applyProtection="1">
      <alignment horizontal="center"/>
      <protection locked="0"/>
    </xf>
    <xf numFmtId="165" fontId="23" fillId="0" borderId="0" xfId="0" applyNumberFormat="1" applyFont="1" applyAlignment="1" applyProtection="1">
      <alignment horizontal="center"/>
      <protection hidden="1"/>
    </xf>
    <xf numFmtId="9" fontId="23" fillId="0" borderId="0" xfId="2" applyFont="1" applyFill="1" applyAlignment="1" applyProtection="1">
      <alignment horizontal="center"/>
      <protection locked="0"/>
    </xf>
    <xf numFmtId="9" fontId="23" fillId="2" borderId="0" xfId="2" applyFont="1" applyFill="1" applyAlignment="1" applyProtection="1">
      <alignment horizontal="center"/>
      <protection locked="0"/>
    </xf>
    <xf numFmtId="9" fontId="23" fillId="5" borderId="0" xfId="2" applyFont="1" applyFill="1" applyAlignment="1" applyProtection="1">
      <alignment horizontal="center"/>
      <protection locked="0"/>
    </xf>
    <xf numFmtId="165" fontId="23" fillId="0" borderId="4" xfId="9" applyNumberFormat="1" applyFont="1" applyBorder="1" applyAlignment="1" applyProtection="1">
      <alignment horizontal="right" vertical="top"/>
      <protection hidden="1"/>
    </xf>
    <xf numFmtId="165" fontId="23" fillId="0" borderId="19" xfId="9" applyNumberFormat="1" applyFont="1" applyBorder="1" applyAlignment="1" applyProtection="1">
      <alignment horizontal="right" vertical="top"/>
      <protection hidden="1"/>
    </xf>
    <xf numFmtId="165" fontId="23" fillId="22" borderId="19" xfId="9" applyNumberFormat="1" applyFont="1" applyFill="1" applyBorder="1" applyAlignment="1" applyProtection="1">
      <alignment horizontal="right" vertical="top"/>
      <protection hidden="1"/>
    </xf>
    <xf numFmtId="0" fontId="23" fillId="0" borderId="4" xfId="0" applyFont="1" applyBorder="1" applyAlignment="1" applyProtection="1">
      <alignment vertical="top"/>
      <protection locked="0"/>
    </xf>
    <xf numFmtId="165" fontId="23" fillId="0" borderId="34" xfId="9" applyNumberFormat="1" applyFont="1" applyBorder="1" applyAlignment="1" applyProtection="1">
      <alignment vertical="top"/>
      <protection locked="0"/>
    </xf>
    <xf numFmtId="165" fontId="22" fillId="0" borderId="4" xfId="9" applyNumberFormat="1" applyFont="1" applyBorder="1" applyAlignment="1" applyProtection="1">
      <alignment horizontal="right" vertical="top"/>
      <protection locked="0"/>
    </xf>
    <xf numFmtId="167" fontId="23" fillId="0" borderId="4" xfId="0" applyNumberFormat="1" applyFont="1" applyFill="1" applyBorder="1" applyAlignment="1" applyProtection="1">
      <alignment horizontal="center"/>
      <protection locked="0"/>
    </xf>
    <xf numFmtId="165" fontId="22" fillId="0" borderId="6" xfId="9" applyNumberFormat="1" applyFont="1" applyBorder="1" applyAlignment="1" applyProtection="1">
      <alignment vertical="top"/>
      <protection locked="0"/>
    </xf>
    <xf numFmtId="0" fontId="36" fillId="9" borderId="1" xfId="0" applyFont="1" applyFill="1" applyBorder="1" applyAlignment="1" applyProtection="1">
      <alignment vertical="top"/>
      <protection locked="0"/>
    </xf>
    <xf numFmtId="0" fontId="23" fillId="0" borderId="0" xfId="0" applyFont="1" applyFill="1" applyAlignment="1" applyProtection="1">
      <alignment vertical="top"/>
      <protection locked="0"/>
    </xf>
    <xf numFmtId="0" fontId="23" fillId="0" borderId="0" xfId="0" applyFont="1" applyFill="1" applyAlignment="1" applyProtection="1">
      <protection locked="0"/>
    </xf>
    <xf numFmtId="0" fontId="23" fillId="0" borderId="0" xfId="0" applyFont="1" applyFill="1" applyProtection="1">
      <protection locked="0"/>
    </xf>
    <xf numFmtId="0" fontId="23" fillId="0" borderId="1" xfId="0" applyFont="1" applyFill="1" applyBorder="1" applyProtection="1">
      <protection locked="0"/>
    </xf>
    <xf numFmtId="0" fontId="22" fillId="0" borderId="0" xfId="0" applyFont="1" applyAlignment="1" applyProtection="1">
      <alignment vertical="top"/>
      <protection locked="0"/>
    </xf>
    <xf numFmtId="0" fontId="23" fillId="0" borderId="0" xfId="0" applyFont="1" applyAlignment="1" applyProtection="1">
      <alignment vertical="top"/>
      <protection locked="0"/>
    </xf>
    <xf numFmtId="0" fontId="22" fillId="0" borderId="0" xfId="0" applyFont="1" applyAlignment="1" applyProtection="1">
      <alignment horizontal="left"/>
      <protection locked="0"/>
    </xf>
    <xf numFmtId="0" fontId="22" fillId="0" borderId="0" xfId="0" applyFont="1" applyBorder="1" applyAlignment="1" applyProtection="1">
      <alignment horizontal="left"/>
      <protection locked="0"/>
    </xf>
    <xf numFmtId="0" fontId="22" fillId="0" borderId="0" xfId="0" applyFont="1" applyFill="1" applyBorder="1" applyAlignment="1" applyProtection="1">
      <alignment horizontal="left"/>
      <protection locked="0"/>
    </xf>
    <xf numFmtId="0" fontId="22" fillId="0" borderId="2" xfId="0" applyFont="1" applyFill="1" applyBorder="1" applyAlignment="1" applyProtection="1">
      <alignment wrapText="1"/>
      <protection locked="0"/>
    </xf>
    <xf numFmtId="0" fontId="27" fillId="0" borderId="0" xfId="0" applyFont="1" applyFill="1" applyBorder="1" applyAlignment="1" applyProtection="1">
      <protection locked="0"/>
    </xf>
    <xf numFmtId="0" fontId="22" fillId="0" borderId="0" xfId="0" applyFont="1" applyFill="1" applyBorder="1" applyAlignment="1" applyProtection="1">
      <protection locked="0"/>
    </xf>
    <xf numFmtId="0" fontId="22" fillId="0" borderId="0" xfId="0" applyFont="1" applyFill="1" applyBorder="1" applyAlignment="1" applyProtection="1">
      <alignment horizontal="left" vertical="top" wrapText="1"/>
      <protection locked="0"/>
    </xf>
    <xf numFmtId="0" fontId="22" fillId="0" borderId="0" xfId="0" applyFont="1" applyFill="1" applyAlignment="1" applyProtection="1">
      <alignment vertical="top" wrapText="1"/>
      <protection locked="0"/>
    </xf>
    <xf numFmtId="0" fontId="25" fillId="0" borderId="0" xfId="0" applyFont="1" applyAlignment="1" applyProtection="1">
      <alignment vertical="top"/>
      <protection locked="0"/>
    </xf>
    <xf numFmtId="0" fontId="24" fillId="0" borderId="0" xfId="0" applyFont="1" applyAlignment="1" applyProtection="1">
      <alignment vertical="top"/>
      <protection locked="0"/>
    </xf>
    <xf numFmtId="0" fontId="22" fillId="19" borderId="0" xfId="0" applyFont="1" applyFill="1" applyAlignment="1" applyProtection="1">
      <alignment vertical="top"/>
      <protection locked="0"/>
    </xf>
    <xf numFmtId="0" fontId="23" fillId="19" borderId="0" xfId="0" applyFont="1" applyFill="1" applyAlignment="1" applyProtection="1">
      <alignment horizontal="left"/>
      <protection locked="0"/>
    </xf>
    <xf numFmtId="0" fontId="23" fillId="19" borderId="0" xfId="0" applyFont="1" applyFill="1" applyAlignment="1" applyProtection="1">
      <alignment vertical="top"/>
      <protection locked="0"/>
    </xf>
    <xf numFmtId="0" fontId="23" fillId="19" borderId="0" xfId="0" applyFont="1" applyFill="1" applyAlignment="1" applyProtection="1">
      <alignment vertical="top" wrapText="1"/>
      <protection locked="0"/>
    </xf>
    <xf numFmtId="0" fontId="23" fillId="19" borderId="1" xfId="0" applyFont="1" applyFill="1" applyBorder="1" applyAlignment="1" applyProtection="1">
      <alignment horizontal="left" vertical="top"/>
      <protection locked="0"/>
    </xf>
    <xf numFmtId="37" fontId="24" fillId="19" borderId="46" xfId="9" applyNumberFormat="1" applyFont="1" applyFill="1" applyBorder="1" applyAlignment="1" applyProtection="1">
      <alignment horizontal="left" vertical="top"/>
      <protection locked="0"/>
    </xf>
    <xf numFmtId="165" fontId="23" fillId="0" borderId="0" xfId="14" quotePrefix="1" applyNumberFormat="1" applyFont="1" applyFill="1" applyAlignment="1" applyProtection="1">
      <alignment horizontal="left" vertical="top"/>
      <protection hidden="1"/>
    </xf>
    <xf numFmtId="0" fontId="23" fillId="0" borderId="0" xfId="0" applyFont="1" applyAlignment="1" applyProtection="1">
      <alignment vertical="top" wrapText="1"/>
      <protection locked="0"/>
    </xf>
    <xf numFmtId="165" fontId="23" fillId="0" borderId="0" xfId="14" applyNumberFormat="1" applyFont="1" applyAlignment="1" applyProtection="1">
      <alignment horizontal="right" vertical="top" wrapText="1"/>
      <protection locked="0"/>
    </xf>
    <xf numFmtId="0" fontId="23" fillId="0" borderId="0" xfId="0" applyFont="1" applyAlignment="1" applyProtection="1">
      <alignment horizontal="right" vertical="top" wrapText="1"/>
      <protection locked="0"/>
    </xf>
    <xf numFmtId="165" fontId="22" fillId="0" borderId="0" xfId="14" applyNumberFormat="1" applyFont="1" applyFill="1" applyBorder="1" applyAlignment="1" applyProtection="1">
      <alignment horizontal="right" vertical="top" wrapText="1"/>
      <protection locked="0"/>
    </xf>
    <xf numFmtId="0" fontId="23" fillId="0" borderId="0" xfId="0" applyFont="1" applyFill="1" applyAlignment="1" applyProtection="1">
      <alignment horizontal="right" vertical="top" wrapText="1"/>
      <protection locked="0"/>
    </xf>
    <xf numFmtId="165" fontId="23" fillId="0" borderId="0" xfId="0" applyNumberFormat="1" applyFont="1" applyAlignment="1" applyProtection="1">
      <alignment horizontal="right" vertical="top" wrapText="1"/>
      <protection locked="0"/>
    </xf>
    <xf numFmtId="165" fontId="23" fillId="0" borderId="0" xfId="14" quotePrefix="1" applyNumberFormat="1" applyFont="1" applyAlignment="1" applyProtection="1">
      <alignment horizontal="left" vertical="top"/>
      <protection locked="0"/>
    </xf>
    <xf numFmtId="165" fontId="23" fillId="0" borderId="0" xfId="0" applyNumberFormat="1" applyFont="1" applyAlignment="1" applyProtection="1">
      <alignment horizontal="right" vertical="top" wrapText="1"/>
      <protection hidden="1"/>
    </xf>
    <xf numFmtId="165" fontId="23" fillId="0" borderId="0" xfId="0" applyNumberFormat="1" applyFont="1" applyAlignment="1" applyProtection="1">
      <alignment vertical="top" wrapText="1"/>
      <protection locked="0"/>
    </xf>
    <xf numFmtId="0" fontId="22" fillId="19" borderId="14" xfId="0" applyFont="1" applyFill="1" applyBorder="1" applyAlignment="1" applyProtection="1">
      <alignment horizontal="center"/>
      <protection locked="0"/>
    </xf>
    <xf numFmtId="0" fontId="22" fillId="0" borderId="0" xfId="0" applyFont="1" applyFill="1" applyAlignment="1" applyProtection="1">
      <alignment horizontal="center"/>
      <protection locked="0"/>
    </xf>
    <xf numFmtId="0" fontId="23" fillId="0" borderId="0" xfId="0" applyFont="1" applyFill="1" applyAlignment="1" applyProtection="1">
      <alignment vertical="top" wrapText="1"/>
      <protection locked="0"/>
    </xf>
    <xf numFmtId="0" fontId="22" fillId="19" borderId="14" xfId="0" applyFont="1" applyFill="1" applyBorder="1" applyAlignment="1" applyProtection="1">
      <alignment horizontal="center" vertical="top" wrapText="1"/>
      <protection locked="0"/>
    </xf>
    <xf numFmtId="0" fontId="23" fillId="19" borderId="14" xfId="0" applyFont="1" applyFill="1" applyBorder="1" applyAlignment="1" applyProtection="1">
      <alignment vertical="top" wrapText="1"/>
      <protection locked="0"/>
    </xf>
    <xf numFmtId="0" fontId="22" fillId="19" borderId="0" xfId="0" applyFont="1" applyFill="1" applyAlignment="1" applyProtection="1">
      <alignment vertical="top" wrapText="1"/>
      <protection locked="0"/>
    </xf>
    <xf numFmtId="0" fontId="25" fillId="19" borderId="0" xfId="0" applyFont="1" applyFill="1" applyAlignment="1" applyProtection="1">
      <alignment horizontal="right"/>
      <protection locked="0"/>
    </xf>
    <xf numFmtId="0" fontId="23" fillId="19" borderId="0" xfId="0" applyFont="1" applyFill="1" applyAlignment="1" applyProtection="1">
      <alignment horizontal="center"/>
      <protection locked="0"/>
    </xf>
    <xf numFmtId="165" fontId="23" fillId="19" borderId="0" xfId="9" applyNumberFormat="1" applyFont="1" applyFill="1" applyAlignment="1" applyProtection="1">
      <alignment vertical="top" wrapText="1"/>
      <protection locked="0"/>
    </xf>
    <xf numFmtId="0" fontId="23" fillId="19" borderId="0" xfId="0" applyFont="1" applyFill="1" applyAlignment="1" applyProtection="1">
      <alignment horizontal="center" vertical="top"/>
      <protection locked="0"/>
    </xf>
    <xf numFmtId="0" fontId="23" fillId="19" borderId="1" xfId="0" applyFont="1" applyFill="1" applyBorder="1" applyAlignment="1" applyProtection="1">
      <alignment horizontal="center"/>
      <protection locked="0"/>
    </xf>
    <xf numFmtId="37" fontId="23" fillId="19" borderId="14" xfId="9" applyNumberFormat="1" applyFont="1" applyFill="1" applyBorder="1" applyAlignment="1" applyProtection="1">
      <alignment horizontal="right" vertical="top"/>
      <protection locked="0"/>
    </xf>
    <xf numFmtId="37" fontId="23" fillId="19" borderId="0" xfId="0" applyNumberFormat="1" applyFont="1" applyFill="1" applyAlignment="1" applyProtection="1">
      <alignment horizontal="right" vertical="top"/>
      <protection locked="0"/>
    </xf>
    <xf numFmtId="37" fontId="22" fillId="19" borderId="0" xfId="0" applyNumberFormat="1" applyFont="1" applyFill="1" applyAlignment="1" applyProtection="1">
      <alignment vertical="top" wrapText="1"/>
      <protection locked="0"/>
    </xf>
    <xf numFmtId="37" fontId="23" fillId="19" borderId="0" xfId="0" applyNumberFormat="1" applyFont="1" applyFill="1" applyAlignment="1" applyProtection="1">
      <alignment vertical="top" wrapText="1"/>
      <protection locked="0"/>
    </xf>
    <xf numFmtId="0" fontId="23" fillId="0" borderId="0" xfId="0" applyFont="1" applyBorder="1" applyAlignment="1" applyProtection="1">
      <alignment vertical="top" wrapText="1"/>
      <protection locked="0"/>
    </xf>
    <xf numFmtId="0" fontId="22" fillId="0" borderId="1" xfId="0" applyFont="1" applyFill="1" applyBorder="1" applyAlignment="1" applyProtection="1">
      <alignment horizontal="center"/>
      <protection locked="0"/>
    </xf>
    <xf numFmtId="164" fontId="23" fillId="0" borderId="0" xfId="0" applyNumberFormat="1" applyFont="1" applyBorder="1" applyAlignment="1" applyProtection="1">
      <alignment vertical="top" wrapText="1"/>
      <protection locked="0"/>
    </xf>
    <xf numFmtId="164" fontId="23" fillId="0" borderId="0" xfId="1" applyNumberFormat="1" applyFont="1" applyBorder="1" applyAlignment="1" applyProtection="1">
      <alignment vertical="top" wrapText="1"/>
      <protection locked="0"/>
    </xf>
    <xf numFmtId="164" fontId="22" fillId="0" borderId="0" xfId="0" applyNumberFormat="1" applyFont="1" applyBorder="1" applyAlignment="1" applyProtection="1">
      <alignment vertical="top" wrapText="1"/>
      <protection locked="0"/>
    </xf>
    <xf numFmtId="0" fontId="23" fillId="0" borderId="0" xfId="0" applyFont="1" applyBorder="1" applyAlignment="1" applyProtection="1">
      <alignment vertical="top"/>
      <protection locked="0"/>
    </xf>
    <xf numFmtId="164" fontId="22" fillId="0" borderId="0" xfId="0" applyNumberFormat="1" applyFont="1" applyBorder="1" applyAlignment="1" applyProtection="1">
      <alignment vertical="top"/>
      <protection locked="0"/>
    </xf>
    <xf numFmtId="164" fontId="23" fillId="0" borderId="0" xfId="1" applyNumberFormat="1" applyFont="1" applyAlignment="1" applyProtection="1">
      <alignment vertical="top" wrapText="1"/>
      <protection locked="0"/>
    </xf>
    <xf numFmtId="164" fontId="23" fillId="0" borderId="0" xfId="0" applyNumberFormat="1" applyFont="1" applyAlignment="1" applyProtection="1">
      <alignment vertical="top" wrapText="1"/>
      <protection locked="0"/>
    </xf>
    <xf numFmtId="0" fontId="23" fillId="19" borderId="0" xfId="0" applyFont="1" applyFill="1" applyBorder="1" applyAlignment="1" applyProtection="1">
      <alignment vertical="top" wrapText="1"/>
      <protection locked="0"/>
    </xf>
    <xf numFmtId="0" fontId="23" fillId="0" borderId="0" xfId="0" applyFont="1" applyFill="1" applyBorder="1" applyAlignment="1" applyProtection="1">
      <alignment vertical="top" wrapText="1"/>
      <protection locked="0"/>
    </xf>
    <xf numFmtId="0" fontId="22" fillId="19" borderId="0" xfId="0" applyFont="1" applyFill="1" applyBorder="1" applyAlignment="1" applyProtection="1">
      <alignment horizontal="center" vertical="center" wrapText="1"/>
      <protection locked="0"/>
    </xf>
    <xf numFmtId="0" fontId="24" fillId="19" borderId="0" xfId="0" applyFont="1" applyFill="1" applyAlignment="1" applyProtection="1">
      <alignment horizontal="left"/>
      <protection locked="0"/>
    </xf>
    <xf numFmtId="0" fontId="25" fillId="0" borderId="0" xfId="0" applyFont="1" applyFill="1" applyAlignment="1" applyProtection="1">
      <alignment horizontal="right"/>
      <protection locked="0"/>
    </xf>
    <xf numFmtId="0" fontId="23" fillId="19" borderId="0" xfId="0" applyFont="1" applyFill="1" applyBorder="1" applyAlignment="1" applyProtection="1">
      <alignment horizontal="center" vertical="top"/>
      <protection locked="0"/>
    </xf>
    <xf numFmtId="37" fontId="23" fillId="19" borderId="1" xfId="0" applyNumberFormat="1" applyFont="1" applyFill="1" applyBorder="1" applyAlignment="1" applyProtection="1">
      <alignment horizontal="center"/>
      <protection locked="0"/>
    </xf>
    <xf numFmtId="37" fontId="23" fillId="19" borderId="1" xfId="9" applyNumberFormat="1" applyFont="1" applyFill="1" applyBorder="1" applyAlignment="1" applyProtection="1">
      <alignment horizontal="right"/>
      <protection locked="0"/>
    </xf>
    <xf numFmtId="0" fontId="23" fillId="19" borderId="1" xfId="0" applyFont="1" applyFill="1" applyBorder="1" applyAlignment="1" applyProtection="1">
      <alignment vertical="top" wrapText="1"/>
      <protection locked="0"/>
    </xf>
    <xf numFmtId="37" fontId="23" fillId="19" borderId="0" xfId="9" applyNumberFormat="1" applyFont="1" applyFill="1" applyBorder="1" applyAlignment="1" applyProtection="1">
      <alignment horizontal="right"/>
      <protection locked="0"/>
    </xf>
    <xf numFmtId="37" fontId="23" fillId="19" borderId="0" xfId="9" applyNumberFormat="1" applyFont="1" applyFill="1" applyBorder="1" applyAlignment="1" applyProtection="1">
      <alignment horizontal="right" vertical="top"/>
      <protection locked="0"/>
    </xf>
    <xf numFmtId="0" fontId="22" fillId="19" borderId="0" xfId="0" applyFont="1" applyFill="1" applyAlignment="1" applyProtection="1">
      <alignment horizontal="right" vertical="top"/>
      <protection locked="0"/>
    </xf>
    <xf numFmtId="0" fontId="22" fillId="0" borderId="14" xfId="0" applyFont="1" applyFill="1" applyBorder="1" applyAlignment="1" applyProtection="1">
      <alignment horizontal="left" vertical="top"/>
      <protection locked="0"/>
    </xf>
    <xf numFmtId="0" fontId="22" fillId="0" borderId="1" xfId="0" applyFont="1" applyFill="1" applyBorder="1" applyAlignment="1" applyProtection="1">
      <alignment horizontal="center" vertical="center"/>
      <protection locked="0"/>
    </xf>
    <xf numFmtId="0" fontId="47" fillId="2" borderId="0" xfId="19" applyFont="1" applyFill="1" applyAlignment="1" applyProtection="1">
      <alignment horizontal="left"/>
      <protection locked="0"/>
    </xf>
    <xf numFmtId="0" fontId="46" fillId="2" borderId="0" xfId="19" applyFont="1" applyFill="1" applyAlignment="1" applyProtection="1">
      <alignment horizontal="left"/>
      <protection locked="0"/>
    </xf>
    <xf numFmtId="0" fontId="46" fillId="5" borderId="0" xfId="19" applyFont="1" applyFill="1" applyBorder="1" applyAlignment="1" applyProtection="1">
      <alignment horizontal="left"/>
      <protection locked="0"/>
    </xf>
    <xf numFmtId="0" fontId="11" fillId="5" borderId="0" xfId="19" applyFont="1" applyFill="1" applyBorder="1" applyProtection="1">
      <protection locked="0"/>
    </xf>
    <xf numFmtId="0" fontId="11" fillId="2" borderId="0" xfId="19" applyFont="1" applyFill="1" applyBorder="1" applyProtection="1">
      <protection locked="0"/>
    </xf>
    <xf numFmtId="0" fontId="48" fillId="2" borderId="0" xfId="19" applyFont="1" applyFill="1" applyAlignment="1" applyProtection="1">
      <alignment horizontal="left"/>
      <protection locked="0"/>
    </xf>
    <xf numFmtId="9" fontId="48" fillId="3" borderId="14" xfId="20" applyFont="1" applyFill="1" applyBorder="1" applyAlignment="1" applyProtection="1">
      <alignment horizontal="right"/>
      <protection locked="0"/>
    </xf>
    <xf numFmtId="0" fontId="48" fillId="14" borderId="13" xfId="19" applyFont="1" applyFill="1" applyBorder="1" applyAlignment="1" applyProtection="1">
      <alignment horizontal="center"/>
      <protection locked="0"/>
    </xf>
    <xf numFmtId="165" fontId="46" fillId="13" borderId="14" xfId="19" applyNumberFormat="1" applyFont="1" applyFill="1" applyBorder="1" applyAlignment="1" applyProtection="1">
      <alignment horizontal="left"/>
      <protection locked="0"/>
    </xf>
    <xf numFmtId="0" fontId="23" fillId="0" borderId="0" xfId="0" applyFont="1" applyBorder="1" applyAlignment="1" applyProtection="1">
      <alignment horizontal="left" vertical="top"/>
      <protection locked="0"/>
    </xf>
    <xf numFmtId="0" fontId="23" fillId="0" borderId="0" xfId="0" applyFont="1" applyBorder="1" applyAlignment="1" applyProtection="1">
      <alignment horizontal="left" vertical="top"/>
      <protection locked="0"/>
    </xf>
    <xf numFmtId="49" fontId="22" fillId="0" borderId="0" xfId="0" applyNumberFormat="1" applyFont="1" applyFill="1" applyBorder="1" applyAlignment="1" applyProtection="1">
      <alignment horizontal="left" vertical="top"/>
    </xf>
    <xf numFmtId="0" fontId="22" fillId="0" borderId="2" xfId="0" applyFont="1" applyBorder="1" applyAlignment="1" applyProtection="1">
      <alignment horizontal="left" vertical="top"/>
      <protection locked="0"/>
    </xf>
    <xf numFmtId="0" fontId="22" fillId="0" borderId="2" xfId="0" applyFont="1" applyBorder="1" applyAlignment="1" applyProtection="1">
      <alignment horizontal="left"/>
      <protection locked="0"/>
    </xf>
    <xf numFmtId="0" fontId="25" fillId="0" borderId="0" xfId="0" applyFont="1" applyBorder="1" applyAlignment="1" applyProtection="1">
      <alignment vertical="center"/>
      <protection locked="0"/>
    </xf>
    <xf numFmtId="0" fontId="25" fillId="0" borderId="0" xfId="0" applyFont="1" applyBorder="1" applyAlignment="1" applyProtection="1">
      <alignment horizontal="left" vertical="center"/>
      <protection locked="0"/>
    </xf>
    <xf numFmtId="165" fontId="23" fillId="30" borderId="4" xfId="9" applyNumberFormat="1" applyFont="1" applyFill="1" applyBorder="1" applyAlignment="1" applyProtection="1">
      <alignment horizontal="right" vertical="top"/>
      <protection locked="0"/>
    </xf>
    <xf numFmtId="165" fontId="22" fillId="7" borderId="15" xfId="9" applyNumberFormat="1" applyFont="1" applyFill="1" applyBorder="1" applyAlignment="1" applyProtection="1">
      <alignment horizontal="right" vertical="top"/>
      <protection locked="0"/>
    </xf>
    <xf numFmtId="165" fontId="35" fillId="23" borderId="23" xfId="9" applyNumberFormat="1" applyFont="1" applyFill="1" applyBorder="1" applyAlignment="1" applyProtection="1">
      <alignment horizontal="right"/>
      <protection locked="0"/>
    </xf>
    <xf numFmtId="165" fontId="23" fillId="0" borderId="24" xfId="14" applyNumberFormat="1" applyFont="1" applyBorder="1" applyAlignment="1" applyProtection="1">
      <alignment horizontal="center"/>
      <protection locked="0"/>
    </xf>
    <xf numFmtId="166" fontId="23" fillId="7" borderId="13" xfId="2" applyNumberFormat="1" applyFont="1" applyFill="1" applyBorder="1" applyAlignment="1" applyProtection="1">
      <alignment horizontal="right"/>
      <protection locked="0"/>
    </xf>
    <xf numFmtId="165" fontId="23" fillId="0" borderId="24" xfId="9" applyNumberFormat="1" applyFont="1" applyBorder="1" applyProtection="1">
      <protection locked="0"/>
    </xf>
    <xf numFmtId="165" fontId="23" fillId="31" borderId="0" xfId="9" applyNumberFormat="1" applyFont="1" applyFill="1" applyBorder="1" applyAlignment="1" applyProtection="1">
      <alignment horizontal="right" vertical="top"/>
      <protection hidden="1"/>
    </xf>
    <xf numFmtId="165" fontId="23" fillId="11" borderId="0" xfId="9" applyNumberFormat="1" applyFont="1" applyFill="1" applyBorder="1" applyAlignment="1" applyProtection="1">
      <alignment horizontal="right" vertical="top"/>
      <protection locked="0"/>
    </xf>
    <xf numFmtId="166" fontId="23" fillId="7" borderId="13" xfId="2" applyNumberFormat="1" applyFont="1" applyFill="1" applyBorder="1" applyAlignment="1" applyProtection="1">
      <alignment horizontal="right" vertical="top"/>
      <protection locked="0"/>
    </xf>
    <xf numFmtId="0" fontId="22" fillId="0" borderId="0" xfId="0" applyFont="1" applyAlignment="1" applyProtection="1">
      <alignment horizontal="left" vertical="top"/>
      <protection locked="0"/>
    </xf>
    <xf numFmtId="0" fontId="22" fillId="0" borderId="0" xfId="0" applyFont="1" applyAlignment="1" applyProtection="1">
      <alignment horizontal="right" vertical="top"/>
      <protection locked="0"/>
    </xf>
    <xf numFmtId="165" fontId="23" fillId="0" borderId="0" xfId="9" applyNumberFormat="1" applyFont="1" applyAlignment="1" applyProtection="1">
      <alignment horizontal="right" vertical="top"/>
      <protection locked="0"/>
    </xf>
    <xf numFmtId="165" fontId="22" fillId="0" borderId="0" xfId="9" applyNumberFormat="1" applyFont="1" applyAlignment="1" applyProtection="1">
      <alignment vertical="top"/>
      <protection locked="0"/>
    </xf>
    <xf numFmtId="0" fontId="59" fillId="16" borderId="12" xfId="0" applyFont="1" applyFill="1" applyBorder="1" applyAlignment="1" applyProtection="1">
      <alignment horizontal="left"/>
      <protection locked="0"/>
    </xf>
    <xf numFmtId="0" fontId="60" fillId="16" borderId="12" xfId="0" applyFont="1" applyFill="1" applyBorder="1" applyAlignment="1" applyProtection="1">
      <alignment horizontal="left"/>
      <protection locked="0"/>
    </xf>
    <xf numFmtId="0" fontId="60" fillId="16" borderId="12" xfId="0" applyFont="1" applyFill="1" applyBorder="1" applyAlignment="1" applyProtection="1">
      <alignment horizontal="center"/>
      <protection locked="0"/>
    </xf>
    <xf numFmtId="0" fontId="60" fillId="3" borderId="0" xfId="0" applyFont="1" applyFill="1" applyBorder="1" applyAlignment="1" applyProtection="1">
      <alignment horizontal="left"/>
      <protection locked="0"/>
    </xf>
    <xf numFmtId="0" fontId="60" fillId="3" borderId="0" xfId="0" applyFont="1" applyFill="1" applyBorder="1" applyAlignment="1" applyProtection="1">
      <alignment horizontal="center"/>
      <protection locked="0"/>
    </xf>
    <xf numFmtId="0" fontId="63" fillId="5" borderId="0" xfId="0" applyFont="1" applyFill="1" applyAlignment="1" applyProtection="1">
      <alignment horizontal="left" vertical="center"/>
      <protection locked="0"/>
    </xf>
    <xf numFmtId="0" fontId="62" fillId="5" borderId="0" xfId="0" applyFont="1" applyFill="1" applyAlignment="1" applyProtection="1">
      <alignment horizontal="left" vertical="top"/>
      <protection locked="0"/>
    </xf>
    <xf numFmtId="0" fontId="23" fillId="5" borderId="0" xfId="0" applyFont="1" applyFill="1" applyBorder="1" applyAlignment="1" applyProtection="1">
      <alignment horizontal="left"/>
      <protection locked="0"/>
    </xf>
    <xf numFmtId="0" fontId="61" fillId="5" borderId="0" xfId="0" applyFont="1" applyFill="1" applyAlignment="1" applyProtection="1">
      <alignment horizontal="left" vertical="top"/>
      <protection locked="0"/>
    </xf>
    <xf numFmtId="0" fontId="24" fillId="2" borderId="0" xfId="0" applyFont="1" applyFill="1" applyAlignment="1" applyProtection="1">
      <alignment horizontal="left"/>
      <protection locked="0"/>
    </xf>
    <xf numFmtId="0" fontId="23" fillId="6" borderId="0" xfId="0" applyFont="1" applyFill="1" applyAlignment="1" applyProtection="1">
      <alignment horizontal="center" vertical="top"/>
      <protection locked="0"/>
    </xf>
    <xf numFmtId="0" fontId="23" fillId="6" borderId="1" xfId="0" applyFont="1" applyFill="1" applyBorder="1" applyAlignment="1" applyProtection="1">
      <alignment horizontal="center"/>
      <protection locked="0"/>
    </xf>
    <xf numFmtId="37" fontId="24" fillId="14" borderId="14" xfId="9" applyNumberFormat="1" applyFont="1" applyFill="1" applyBorder="1" applyAlignment="1" applyProtection="1">
      <alignment horizontal="right"/>
      <protection locked="0"/>
    </xf>
    <xf numFmtId="37" fontId="23" fillId="14" borderId="14" xfId="9" applyNumberFormat="1" applyFont="1" applyFill="1" applyBorder="1" applyAlignment="1" applyProtection="1">
      <alignment horizontal="right"/>
      <protection locked="0"/>
    </xf>
    <xf numFmtId="37" fontId="23" fillId="6" borderId="0" xfId="0" applyNumberFormat="1" applyFont="1" applyFill="1" applyAlignment="1" applyProtection="1">
      <alignment horizontal="center"/>
      <protection locked="0"/>
    </xf>
    <xf numFmtId="0" fontId="44" fillId="6" borderId="0" xfId="0" applyFont="1" applyFill="1" applyAlignment="1" applyProtection="1">
      <alignment horizontal="right"/>
      <protection hidden="1"/>
    </xf>
    <xf numFmtId="10" fontId="23" fillId="0" borderId="4" xfId="2" applyNumberFormat="1" applyFont="1" applyBorder="1" applyAlignment="1" applyProtection="1">
      <alignment horizontal="center"/>
      <protection locked="0"/>
    </xf>
    <xf numFmtId="10" fontId="23" fillId="0" borderId="6" xfId="2" applyNumberFormat="1" applyFont="1" applyBorder="1" applyAlignment="1" applyProtection="1">
      <alignment horizontal="center"/>
      <protection locked="0"/>
    </xf>
    <xf numFmtId="0" fontId="23" fillId="5" borderId="0" xfId="0" applyFont="1" applyFill="1" applyAlignment="1" applyProtection="1">
      <alignment horizontal="left" vertical="top"/>
      <protection locked="0"/>
    </xf>
    <xf numFmtId="0" fontId="23" fillId="0" borderId="0" xfId="0" applyFont="1" applyFill="1" applyAlignment="1" applyProtection="1">
      <alignment horizontal="left" vertical="top"/>
      <protection locked="0"/>
    </xf>
    <xf numFmtId="37" fontId="23" fillId="0" borderId="0" xfId="0" applyNumberFormat="1" applyFont="1" applyAlignment="1" applyProtection="1">
      <alignment horizontal="center"/>
      <protection locked="0"/>
    </xf>
    <xf numFmtId="0" fontId="23" fillId="0" borderId="0" xfId="0" applyFont="1" applyAlignment="1" applyProtection="1">
      <alignment horizontal="left" vertical="top"/>
      <protection locked="0"/>
    </xf>
    <xf numFmtId="165" fontId="23" fillId="0" borderId="3" xfId="0" applyNumberFormat="1" applyFont="1" applyBorder="1" applyAlignment="1" applyProtection="1">
      <alignment horizontal="center"/>
      <protection hidden="1"/>
    </xf>
    <xf numFmtId="165" fontId="23" fillId="0" borderId="0" xfId="0" applyNumberFormat="1" applyFont="1" applyBorder="1" applyAlignment="1" applyProtection="1">
      <alignment horizontal="center"/>
      <protection hidden="1"/>
    </xf>
    <xf numFmtId="165" fontId="23" fillId="22" borderId="17" xfId="9" applyNumberFormat="1" applyFont="1" applyFill="1" applyBorder="1" applyAlignment="1" applyProtection="1">
      <alignment horizontal="right" vertical="top"/>
      <protection hidden="1"/>
    </xf>
    <xf numFmtId="165" fontId="23" fillId="0" borderId="0" xfId="2" applyNumberFormat="1" applyFont="1" applyFill="1" applyBorder="1" applyAlignment="1" applyProtection="1">
      <alignment horizontal="center"/>
      <protection hidden="1"/>
    </xf>
    <xf numFmtId="165" fontId="23" fillId="0" borderId="0" xfId="9" applyNumberFormat="1" applyFont="1" applyFill="1" applyBorder="1" applyAlignment="1" applyProtection="1">
      <alignment horizontal="right" vertical="top"/>
      <protection hidden="1"/>
    </xf>
    <xf numFmtId="165" fontId="23" fillId="0" borderId="3" xfId="0" applyNumberFormat="1" applyFont="1" applyFill="1" applyBorder="1" applyAlignment="1" applyProtection="1">
      <alignment horizontal="center"/>
      <protection hidden="1"/>
    </xf>
    <xf numFmtId="9" fontId="23" fillId="0" borderId="0" xfId="2" applyFont="1" applyFill="1" applyBorder="1" applyAlignment="1" applyProtection="1">
      <alignment horizontal="center"/>
      <protection hidden="1"/>
    </xf>
    <xf numFmtId="0" fontId="23" fillId="0" borderId="0" xfId="0" applyFont="1" applyBorder="1" applyAlignment="1" applyProtection="1">
      <alignment horizontal="center"/>
      <protection hidden="1"/>
    </xf>
    <xf numFmtId="0" fontId="23" fillId="0" borderId="21" xfId="0" applyFont="1" applyBorder="1" applyAlignment="1" applyProtection="1">
      <alignment vertical="top"/>
      <protection locked="0"/>
    </xf>
    <xf numFmtId="0" fontId="23" fillId="0" borderId="17" xfId="0" applyFont="1" applyBorder="1" applyAlignment="1" applyProtection="1">
      <alignment vertical="top"/>
      <protection locked="0"/>
    </xf>
    <xf numFmtId="0" fontId="23" fillId="0" borderId="40" xfId="0" applyFont="1" applyBorder="1" applyAlignment="1" applyProtection="1">
      <alignment vertical="top"/>
      <protection locked="0"/>
    </xf>
    <xf numFmtId="0" fontId="23" fillId="0" borderId="0" xfId="0" applyFont="1" applyAlignment="1" applyProtection="1">
      <alignment horizontal="center"/>
    </xf>
    <xf numFmtId="0" fontId="22" fillId="0" borderId="0" xfId="0" applyFont="1" applyAlignment="1" applyProtection="1">
      <alignment horizontal="center"/>
    </xf>
    <xf numFmtId="165" fontId="23" fillId="0" borderId="0" xfId="0" applyNumberFormat="1" applyFont="1" applyAlignment="1" applyProtection="1">
      <alignment horizontal="center"/>
      <protection locked="0"/>
    </xf>
    <xf numFmtId="0" fontId="22" fillId="2" borderId="0" xfId="0" applyFont="1" applyFill="1" applyBorder="1" applyAlignment="1" applyProtection="1">
      <alignment horizontal="left"/>
      <protection locked="0"/>
    </xf>
    <xf numFmtId="0" fontId="23" fillId="2" borderId="0" xfId="0" applyFont="1" applyFill="1" applyBorder="1" applyAlignment="1" applyProtection="1">
      <alignment horizontal="left"/>
      <protection locked="0"/>
    </xf>
    <xf numFmtId="0" fontId="22" fillId="0" borderId="0" xfId="0" applyFont="1" applyFill="1" applyBorder="1" applyAlignment="1" applyProtection="1">
      <alignment horizontal="center"/>
      <protection hidden="1"/>
    </xf>
    <xf numFmtId="0" fontId="22" fillId="0" borderId="4" xfId="0" applyFont="1" applyFill="1" applyBorder="1" applyAlignment="1" applyProtection="1">
      <alignment horizontal="center"/>
      <protection hidden="1"/>
    </xf>
    <xf numFmtId="0" fontId="37" fillId="0" borderId="0" xfId="0" applyFont="1" applyFill="1" applyBorder="1" applyAlignment="1" applyProtection="1">
      <alignment horizontal="left"/>
      <protection hidden="1"/>
    </xf>
    <xf numFmtId="166" fontId="37" fillId="0" borderId="0" xfId="2" applyNumberFormat="1" applyFont="1" applyFill="1" applyBorder="1" applyAlignment="1" applyProtection="1">
      <alignment horizontal="center"/>
      <protection hidden="1"/>
    </xf>
    <xf numFmtId="0" fontId="37" fillId="2" borderId="2" xfId="0" applyFont="1" applyFill="1" applyBorder="1" applyAlignment="1" applyProtection="1">
      <alignment horizontal="left"/>
      <protection hidden="1"/>
    </xf>
    <xf numFmtId="166" fontId="37" fillId="2" borderId="2" xfId="2" applyNumberFormat="1" applyFont="1" applyFill="1" applyBorder="1" applyAlignment="1" applyProtection="1">
      <alignment horizontal="center"/>
      <protection hidden="1"/>
    </xf>
    <xf numFmtId="0" fontId="23" fillId="18" borderId="0" xfId="0" applyFont="1" applyFill="1" applyAlignment="1" applyProtection="1">
      <alignment horizontal="left"/>
      <protection locked="0"/>
    </xf>
    <xf numFmtId="0" fontId="23" fillId="18" borderId="0" xfId="0" applyFont="1" applyFill="1" applyAlignment="1" applyProtection="1">
      <alignment horizontal="center"/>
      <protection locked="0"/>
    </xf>
    <xf numFmtId="0" fontId="22" fillId="18" borderId="0" xfId="0" applyFont="1" applyFill="1" applyBorder="1" applyAlignment="1" applyProtection="1">
      <alignment horizontal="center"/>
      <protection locked="0"/>
    </xf>
    <xf numFmtId="0" fontId="25" fillId="18" borderId="7" xfId="0" applyFont="1" applyFill="1" applyBorder="1" applyAlignment="1" applyProtection="1">
      <alignment horizontal="left"/>
      <protection locked="0"/>
    </xf>
    <xf numFmtId="166" fontId="23" fillId="18" borderId="8" xfId="2" applyNumberFormat="1" applyFont="1" applyFill="1" applyBorder="1" applyAlignment="1" applyProtection="1">
      <alignment horizontal="left"/>
      <protection locked="0"/>
    </xf>
    <xf numFmtId="166" fontId="23" fillId="18" borderId="9" xfId="2" applyNumberFormat="1" applyFont="1" applyFill="1" applyBorder="1" applyAlignment="1" applyProtection="1">
      <alignment horizontal="left"/>
      <protection locked="0"/>
    </xf>
    <xf numFmtId="0" fontId="25" fillId="19" borderId="0" xfId="0" applyFont="1" applyFill="1" applyAlignment="1" applyProtection="1">
      <alignment horizontal="center"/>
      <protection locked="0"/>
    </xf>
    <xf numFmtId="0" fontId="22" fillId="19" borderId="0" xfId="0" applyFont="1" applyFill="1" applyBorder="1" applyAlignment="1" applyProtection="1">
      <alignment vertical="top"/>
      <protection locked="0"/>
    </xf>
    <xf numFmtId="165" fontId="23" fillId="19" borderId="0" xfId="9" applyNumberFormat="1" applyFont="1" applyFill="1" applyAlignment="1" applyProtection="1">
      <alignment vertical="top"/>
      <protection locked="0"/>
    </xf>
    <xf numFmtId="0" fontId="25" fillId="19" borderId="0" xfId="0" applyFont="1" applyFill="1" applyBorder="1" applyAlignment="1" applyProtection="1">
      <alignment horizontal="center"/>
      <protection locked="0"/>
    </xf>
    <xf numFmtId="165" fontId="25" fillId="19" borderId="0" xfId="9" applyNumberFormat="1" applyFont="1" applyFill="1" applyBorder="1" applyAlignment="1" applyProtection="1">
      <alignment horizontal="center"/>
      <protection locked="0"/>
    </xf>
    <xf numFmtId="0" fontId="23" fillId="19" borderId="0" xfId="0" applyFont="1" applyFill="1" applyBorder="1" applyAlignment="1" applyProtection="1">
      <alignment horizontal="center"/>
      <protection locked="0"/>
    </xf>
    <xf numFmtId="165" fontId="23" fillId="19" borderId="0" xfId="9" applyNumberFormat="1" applyFont="1" applyFill="1" applyBorder="1" applyAlignment="1" applyProtection="1">
      <alignment horizontal="center"/>
      <protection locked="0"/>
    </xf>
    <xf numFmtId="0" fontId="23" fillId="14" borderId="1" xfId="0" applyFont="1" applyFill="1" applyBorder="1" applyAlignment="1" applyProtection="1">
      <alignment horizontal="center"/>
      <protection locked="0"/>
    </xf>
    <xf numFmtId="165" fontId="23" fillId="14" borderId="14" xfId="9" applyNumberFormat="1" applyFont="1" applyFill="1" applyBorder="1" applyAlignment="1" applyProtection="1">
      <alignment horizontal="right"/>
      <protection locked="0"/>
    </xf>
    <xf numFmtId="37" fontId="23" fillId="14" borderId="0" xfId="0" applyNumberFormat="1" applyFont="1" applyFill="1" applyAlignment="1" applyProtection="1">
      <alignment horizontal="right"/>
      <protection locked="0"/>
    </xf>
    <xf numFmtId="37" fontId="23" fillId="14" borderId="14" xfId="9" applyNumberFormat="1" applyFont="1" applyFill="1" applyBorder="1" applyAlignment="1" applyProtection="1">
      <alignment horizontal="right" vertical="top"/>
      <protection locked="0"/>
    </xf>
    <xf numFmtId="165" fontId="23" fillId="14" borderId="14" xfId="9" applyNumberFormat="1" applyFont="1" applyFill="1" applyBorder="1" applyAlignment="1" applyProtection="1">
      <alignment horizontal="right" vertical="top"/>
      <protection locked="0"/>
    </xf>
    <xf numFmtId="37" fontId="23" fillId="14" borderId="0" xfId="0" applyNumberFormat="1" applyFont="1" applyFill="1" applyAlignment="1" applyProtection="1">
      <alignment horizontal="right" vertical="top"/>
      <protection locked="0"/>
    </xf>
    <xf numFmtId="165" fontId="22" fillId="19" borderId="0" xfId="9" applyNumberFormat="1" applyFont="1" applyFill="1" applyBorder="1" applyAlignment="1" applyProtection="1">
      <alignment horizontal="center"/>
      <protection locked="0"/>
    </xf>
    <xf numFmtId="0" fontId="22" fillId="19" borderId="0" xfId="0" applyFont="1" applyFill="1" applyBorder="1" applyAlignment="1" applyProtection="1">
      <alignment horizontal="right"/>
      <protection locked="0"/>
    </xf>
    <xf numFmtId="0" fontId="25" fillId="19" borderId="10" xfId="0" applyFont="1" applyFill="1" applyBorder="1" applyAlignment="1" applyProtection="1">
      <alignment horizontal="left" vertical="top"/>
      <protection locked="0"/>
    </xf>
    <xf numFmtId="0" fontId="23" fillId="19" borderId="11" xfId="0" applyFont="1" applyFill="1" applyBorder="1" applyAlignment="1" applyProtection="1">
      <alignment horizontal="center"/>
      <protection locked="0"/>
    </xf>
    <xf numFmtId="0" fontId="25" fillId="19" borderId="0" xfId="0" applyFont="1" applyFill="1" applyAlignment="1" applyProtection="1">
      <alignment horizontal="left"/>
      <protection locked="0"/>
    </xf>
    <xf numFmtId="0" fontId="23" fillId="19" borderId="3" xfId="0" applyFont="1" applyFill="1" applyBorder="1" applyAlignment="1" applyProtection="1">
      <alignment horizontal="center"/>
      <protection locked="0"/>
    </xf>
    <xf numFmtId="0" fontId="23" fillId="19" borderId="4" xfId="0" applyFont="1" applyFill="1" applyBorder="1" applyAlignment="1" applyProtection="1">
      <alignment horizontal="center"/>
      <protection locked="0"/>
    </xf>
    <xf numFmtId="0" fontId="23" fillId="19" borderId="0" xfId="0" applyFont="1" applyFill="1" applyAlignment="1" applyProtection="1">
      <alignment horizontal="right"/>
      <protection locked="0"/>
    </xf>
    <xf numFmtId="0" fontId="23" fillId="19" borderId="5" xfId="0" applyFont="1" applyFill="1" applyBorder="1" applyAlignment="1" applyProtection="1">
      <alignment horizontal="center"/>
      <protection locked="0"/>
    </xf>
    <xf numFmtId="0" fontId="23" fillId="19" borderId="6" xfId="0" applyFont="1" applyFill="1" applyBorder="1" applyAlignment="1" applyProtection="1">
      <alignment horizontal="center"/>
      <protection locked="0"/>
    </xf>
    <xf numFmtId="165" fontId="23" fillId="19" borderId="0" xfId="9" applyNumberFormat="1" applyFont="1" applyFill="1" applyAlignment="1" applyProtection="1">
      <alignment horizontal="left"/>
      <protection locked="0"/>
    </xf>
    <xf numFmtId="0" fontId="35" fillId="19" borderId="13" xfId="0" applyFont="1" applyFill="1" applyBorder="1" applyAlignment="1" applyProtection="1">
      <alignment horizontal="center" vertical="top"/>
      <protection locked="0"/>
    </xf>
    <xf numFmtId="166" fontId="22" fillId="19" borderId="13" xfId="2" applyNumberFormat="1" applyFont="1" applyFill="1" applyBorder="1" applyAlignment="1" applyProtection="1">
      <alignment horizontal="center"/>
      <protection locked="0"/>
    </xf>
    <xf numFmtId="9" fontId="44" fillId="0" borderId="0" xfId="2" applyFont="1" applyFill="1" applyBorder="1" applyAlignment="1" applyProtection="1">
      <alignment horizontal="center" vertical="center"/>
      <protection locked="0"/>
    </xf>
    <xf numFmtId="9" fontId="23" fillId="2" borderId="0" xfId="0" applyNumberFormat="1" applyFont="1" applyFill="1" applyBorder="1" applyAlignment="1" applyProtection="1">
      <alignment horizontal="center"/>
      <protection locked="0"/>
    </xf>
    <xf numFmtId="0" fontId="37" fillId="0" borderId="0" xfId="0" applyFont="1" applyFill="1" applyBorder="1" applyAlignment="1" applyProtection="1">
      <protection hidden="1"/>
    </xf>
    <xf numFmtId="0" fontId="37" fillId="0" borderId="0" xfId="0" applyFont="1" applyFill="1" applyBorder="1" applyAlignment="1" applyProtection="1">
      <protection locked="0"/>
    </xf>
    <xf numFmtId="9" fontId="67" fillId="0" borderId="1" xfId="2" applyFont="1" applyFill="1" applyBorder="1" applyAlignment="1" applyProtection="1">
      <alignment horizontal="center"/>
      <protection locked="0"/>
    </xf>
    <xf numFmtId="166" fontId="22" fillId="0" borderId="0" xfId="2" applyNumberFormat="1" applyFont="1" applyFill="1" applyBorder="1" applyAlignment="1" applyProtection="1">
      <alignment horizontal="center"/>
      <protection locked="0"/>
    </xf>
    <xf numFmtId="165" fontId="66" fillId="0" borderId="0" xfId="9" applyNumberFormat="1" applyFont="1" applyFill="1" applyBorder="1" applyAlignment="1" applyProtection="1">
      <alignment horizontal="center"/>
      <protection locked="0"/>
    </xf>
    <xf numFmtId="0" fontId="25" fillId="0" borderId="0" xfId="0" applyFont="1" applyFill="1" applyBorder="1" applyAlignment="1" applyProtection="1">
      <alignment horizontal="center" vertical="center" wrapText="1"/>
      <protection locked="0"/>
    </xf>
    <xf numFmtId="165" fontId="22" fillId="0" borderId="0" xfId="9" applyNumberFormat="1" applyFont="1" applyFill="1" applyBorder="1" applyAlignment="1" applyProtection="1">
      <alignment horizontal="right" vertical="top"/>
      <protection locked="0"/>
    </xf>
    <xf numFmtId="165" fontId="22" fillId="0" borderId="0" xfId="0" applyNumberFormat="1" applyFont="1" applyAlignment="1" applyProtection="1">
      <alignment horizontal="center"/>
      <protection locked="0"/>
    </xf>
    <xf numFmtId="165" fontId="23" fillId="0" borderId="0" xfId="9" applyNumberFormat="1" applyFont="1" applyFill="1" applyBorder="1" applyAlignment="1" applyProtection="1">
      <alignment vertical="top"/>
      <protection locked="0"/>
    </xf>
    <xf numFmtId="0" fontId="23" fillId="0" borderId="0" xfId="0" applyFont="1" applyAlignment="1" applyProtection="1">
      <alignment horizontal="right"/>
      <protection locked="0"/>
    </xf>
    <xf numFmtId="165" fontId="66" fillId="0" borderId="0" xfId="9" applyNumberFormat="1" applyFont="1" applyFill="1" applyBorder="1" applyAlignment="1" applyProtection="1">
      <alignment horizontal="center" vertical="top"/>
      <protection locked="0"/>
    </xf>
    <xf numFmtId="165" fontId="22" fillId="0" borderId="0" xfId="9" applyNumberFormat="1" applyFont="1" applyFill="1" applyBorder="1" applyAlignment="1" applyProtection="1">
      <alignment vertical="top"/>
      <protection locked="0"/>
    </xf>
    <xf numFmtId="165" fontId="23" fillId="0" borderId="0" xfId="9" applyNumberFormat="1" applyFont="1" applyFill="1" applyBorder="1" applyAlignment="1" applyProtection="1">
      <alignment vertical="top" wrapText="1"/>
      <protection locked="0"/>
    </xf>
    <xf numFmtId="165" fontId="22" fillId="0" borderId="0" xfId="9" applyNumberFormat="1" applyFont="1" applyFill="1" applyBorder="1" applyAlignment="1" applyProtection="1">
      <alignment vertical="top" wrapText="1"/>
      <protection locked="0"/>
    </xf>
    <xf numFmtId="165" fontId="23" fillId="0" borderId="0" xfId="9" applyNumberFormat="1" applyFont="1" applyAlignment="1" applyProtection="1">
      <alignment horizontal="center"/>
      <protection locked="0"/>
    </xf>
    <xf numFmtId="165" fontId="30" fillId="0" borderId="0" xfId="9" applyNumberFormat="1" applyFont="1" applyFill="1" applyBorder="1" applyAlignment="1" applyProtection="1">
      <alignment horizontal="right" vertical="top"/>
      <protection locked="0"/>
    </xf>
    <xf numFmtId="165" fontId="23" fillId="22" borderId="11" xfId="9" applyNumberFormat="1" applyFont="1" applyFill="1" applyBorder="1" applyAlignment="1" applyProtection="1">
      <alignment horizontal="right" vertical="top"/>
      <protection locked="0"/>
    </xf>
    <xf numFmtId="165" fontId="23" fillId="22" borderId="4" xfId="9" applyNumberFormat="1" applyFont="1" applyFill="1" applyBorder="1" applyAlignment="1" applyProtection="1">
      <alignment horizontal="right" vertical="top"/>
      <protection locked="0"/>
    </xf>
    <xf numFmtId="165" fontId="23" fillId="22" borderId="6" xfId="9" applyNumberFormat="1" applyFont="1" applyFill="1" applyBorder="1" applyAlignment="1" applyProtection="1">
      <alignment horizontal="right" vertical="top"/>
      <protection locked="0"/>
    </xf>
    <xf numFmtId="165" fontId="23" fillId="30" borderId="0" xfId="9" applyNumberFormat="1" applyFont="1" applyFill="1" applyBorder="1" applyAlignment="1" applyProtection="1">
      <alignment horizontal="right" vertical="top"/>
      <protection locked="0"/>
    </xf>
    <xf numFmtId="165" fontId="23" fillId="22" borderId="20" xfId="9" applyNumberFormat="1" applyFont="1" applyFill="1" applyBorder="1" applyAlignment="1" applyProtection="1">
      <alignment horizontal="right" vertical="top"/>
      <protection locked="0"/>
    </xf>
    <xf numFmtId="165" fontId="23" fillId="15" borderId="0" xfId="0" applyNumberFormat="1" applyFont="1" applyFill="1" applyAlignment="1" applyProtection="1">
      <alignment horizontal="center"/>
      <protection locked="0"/>
    </xf>
    <xf numFmtId="165" fontId="22" fillId="0" borderId="30" xfId="9" applyNumberFormat="1" applyFont="1" applyFill="1" applyBorder="1" applyAlignment="1" applyProtection="1">
      <alignment horizontal="right" vertical="top"/>
      <protection locked="0"/>
    </xf>
    <xf numFmtId="165" fontId="22" fillId="0" borderId="0" xfId="0" applyNumberFormat="1" applyFont="1" applyBorder="1" applyAlignment="1" applyProtection="1">
      <alignment horizontal="center"/>
      <protection locked="0"/>
    </xf>
    <xf numFmtId="166" fontId="23" fillId="0" borderId="0" xfId="2" applyNumberFormat="1" applyFont="1" applyFill="1" applyAlignment="1" applyProtection="1">
      <alignment horizontal="center"/>
      <protection locked="0"/>
    </xf>
    <xf numFmtId="165" fontId="22" fillId="0" borderId="0" xfId="0" applyNumberFormat="1" applyFont="1" applyFill="1" applyAlignment="1" applyProtection="1">
      <alignment horizontal="center"/>
      <protection locked="0"/>
    </xf>
    <xf numFmtId="10" fontId="23" fillId="0" borderId="0" xfId="2" applyNumberFormat="1" applyFont="1" applyAlignment="1" applyProtection="1">
      <alignment horizontal="center"/>
      <protection locked="0"/>
    </xf>
    <xf numFmtId="10" fontId="23" fillId="0" borderId="0" xfId="0" applyNumberFormat="1" applyFont="1" applyFill="1" applyAlignment="1" applyProtection="1">
      <alignment horizontal="center"/>
      <protection locked="0"/>
    </xf>
    <xf numFmtId="0" fontId="23" fillId="0" borderId="0" xfId="0" quotePrefix="1" applyFont="1" applyAlignment="1" applyProtection="1">
      <alignment horizontal="right"/>
      <protection locked="0"/>
    </xf>
    <xf numFmtId="10" fontId="23" fillId="13" borderId="0" xfId="0" applyNumberFormat="1" applyFont="1" applyFill="1" applyAlignment="1" applyProtection="1">
      <alignment horizontal="center"/>
      <protection locked="0"/>
    </xf>
    <xf numFmtId="165" fontId="23" fillId="31" borderId="0" xfId="9" applyNumberFormat="1" applyFont="1" applyFill="1" applyBorder="1" applyAlignment="1" applyProtection="1">
      <alignment horizontal="right" vertical="top"/>
      <protection locked="0"/>
    </xf>
    <xf numFmtId="165" fontId="22" fillId="0" borderId="43" xfId="9" applyNumberFormat="1" applyFont="1" applyBorder="1" applyAlignment="1" applyProtection="1">
      <alignment horizontal="right" vertical="top"/>
      <protection locked="0"/>
    </xf>
    <xf numFmtId="0" fontId="23" fillId="0" borderId="0" xfId="0" applyFont="1" applyFill="1" applyAlignment="1" applyProtection="1">
      <alignment horizontal="right"/>
      <protection locked="0"/>
    </xf>
    <xf numFmtId="165" fontId="23" fillId="0" borderId="0" xfId="9" applyNumberFormat="1" applyFont="1" applyFill="1" applyAlignment="1" applyProtection="1">
      <alignment horizontal="center"/>
      <protection locked="0"/>
    </xf>
    <xf numFmtId="166" fontId="23" fillId="0" borderId="0" xfId="0" applyNumberFormat="1" applyFont="1" applyFill="1" applyAlignment="1" applyProtection="1">
      <alignment horizontal="center"/>
      <protection locked="0"/>
    </xf>
    <xf numFmtId="165" fontId="22" fillId="0" borderId="32" xfId="9" applyNumberFormat="1" applyFont="1" applyBorder="1" applyAlignment="1" applyProtection="1">
      <alignment horizontal="right" vertical="top"/>
      <protection locked="0"/>
    </xf>
    <xf numFmtId="165" fontId="22" fillId="0" borderId="31" xfId="9" applyNumberFormat="1" applyFont="1" applyBorder="1" applyAlignment="1" applyProtection="1">
      <alignment horizontal="right" vertical="top"/>
      <protection locked="0"/>
    </xf>
    <xf numFmtId="165" fontId="22" fillId="0" borderId="0" xfId="9" applyNumberFormat="1" applyFont="1" applyFill="1" applyAlignment="1" applyProtection="1">
      <alignment vertical="top"/>
      <protection locked="0"/>
    </xf>
    <xf numFmtId="10" fontId="23" fillId="0" borderId="0" xfId="0" applyNumberFormat="1" applyFont="1" applyAlignment="1" applyProtection="1">
      <alignment horizontal="center"/>
      <protection locked="0"/>
    </xf>
    <xf numFmtId="0" fontId="60" fillId="0" borderId="0" xfId="0" applyFont="1" applyFill="1" applyBorder="1" applyAlignment="1" applyProtection="1">
      <alignment horizontal="center"/>
      <protection locked="0"/>
    </xf>
    <xf numFmtId="0" fontId="22" fillId="0" borderId="0" xfId="0" applyFont="1" applyAlignment="1" applyProtection="1">
      <alignment horizontal="right"/>
      <protection locked="0"/>
    </xf>
    <xf numFmtId="9" fontId="38" fillId="0" borderId="0" xfId="2" applyFont="1" applyFill="1" applyBorder="1" applyAlignment="1" applyProtection="1">
      <alignment horizontal="center"/>
      <protection locked="0"/>
    </xf>
    <xf numFmtId="0" fontId="43" fillId="0" borderId="0" xfId="0" applyFont="1" applyFill="1" applyAlignment="1" applyProtection="1">
      <alignment horizontal="left" vertical="top"/>
      <protection locked="0"/>
    </xf>
    <xf numFmtId="0" fontId="61" fillId="0" borderId="0" xfId="0" applyFont="1" applyFill="1" applyAlignment="1" applyProtection="1">
      <alignment horizontal="left" vertical="top"/>
      <protection locked="0"/>
    </xf>
    <xf numFmtId="1" fontId="23" fillId="0" borderId="0" xfId="0" applyNumberFormat="1" applyFont="1" applyFill="1" applyBorder="1" applyAlignment="1" applyProtection="1">
      <alignment horizontal="right"/>
      <protection locked="0"/>
    </xf>
    <xf numFmtId="0" fontId="38" fillId="0" borderId="0" xfId="10" applyFont="1" applyFill="1" applyAlignment="1" applyProtection="1">
      <alignment horizontal="right"/>
      <protection locked="0"/>
    </xf>
    <xf numFmtId="37" fontId="23" fillId="0" borderId="0" xfId="0" applyNumberFormat="1" applyFont="1" applyFill="1" applyBorder="1" applyAlignment="1" applyProtection="1">
      <alignment horizontal="center"/>
      <protection locked="0"/>
    </xf>
    <xf numFmtId="165" fontId="25" fillId="0" borderId="0" xfId="9" applyNumberFormat="1" applyFont="1" applyFill="1" applyBorder="1" applyAlignment="1" applyProtection="1">
      <alignment horizontal="center"/>
      <protection locked="0"/>
    </xf>
    <xf numFmtId="165" fontId="23" fillId="0" borderId="0" xfId="9" applyNumberFormat="1" applyFont="1" applyFill="1" applyBorder="1" applyAlignment="1" applyProtection="1">
      <alignment horizontal="center"/>
      <protection locked="0"/>
    </xf>
    <xf numFmtId="37" fontId="23" fillId="0" borderId="0" xfId="9" applyNumberFormat="1" applyFont="1" applyFill="1" applyBorder="1" applyAlignment="1" applyProtection="1">
      <alignment horizontal="right"/>
      <protection locked="0"/>
    </xf>
    <xf numFmtId="0" fontId="25" fillId="0" borderId="0" xfId="0" applyFont="1" applyFill="1" applyAlignment="1" applyProtection="1">
      <alignment horizontal="center"/>
      <protection locked="0"/>
    </xf>
    <xf numFmtId="0" fontId="23" fillId="14" borderId="1" xfId="0" applyFont="1" applyFill="1" applyBorder="1" applyAlignment="1" applyProtection="1">
      <alignment horizontal="left" vertical="top"/>
      <protection locked="0"/>
    </xf>
    <xf numFmtId="0" fontId="23" fillId="14" borderId="1" xfId="0" applyFont="1" applyFill="1" applyBorder="1" applyAlignment="1" applyProtection="1">
      <alignment horizontal="center" vertical="top"/>
      <protection locked="0"/>
    </xf>
    <xf numFmtId="37" fontId="16" fillId="0" borderId="0" xfId="0" applyNumberFormat="1" applyFont="1" applyFill="1" applyAlignment="1" applyProtection="1">
      <alignment horizontal="center"/>
      <protection locked="0"/>
    </xf>
    <xf numFmtId="37" fontId="24" fillId="14" borderId="46" xfId="9" applyNumberFormat="1" applyFont="1" applyFill="1" applyBorder="1" applyAlignment="1" applyProtection="1">
      <alignment horizontal="left" vertical="top"/>
      <protection locked="0"/>
    </xf>
    <xf numFmtId="37" fontId="24" fillId="14" borderId="45" xfId="9" applyNumberFormat="1" applyFont="1" applyFill="1" applyBorder="1" applyAlignment="1" applyProtection="1">
      <alignment horizontal="right"/>
      <protection locked="0"/>
    </xf>
    <xf numFmtId="37" fontId="23" fillId="0" borderId="0" xfId="0" applyNumberFormat="1" applyFont="1" applyFill="1" applyAlignment="1" applyProtection="1">
      <alignment horizontal="right" vertical="top"/>
      <protection locked="0"/>
    </xf>
    <xf numFmtId="37" fontId="24" fillId="14" borderId="45" xfId="9" applyNumberFormat="1" applyFont="1" applyFill="1" applyBorder="1" applyAlignment="1" applyProtection="1">
      <alignment horizontal="right" vertical="top"/>
      <protection locked="0"/>
    </xf>
    <xf numFmtId="165" fontId="22" fillId="0" borderId="0" xfId="9" applyNumberFormat="1" applyFont="1" applyFill="1" applyBorder="1" applyAlignment="1" applyProtection="1">
      <alignment horizontal="center"/>
      <protection locked="0"/>
    </xf>
    <xf numFmtId="0" fontId="38" fillId="0" borderId="0" xfId="10" applyFont="1" applyFill="1" applyAlignment="1" applyProtection="1">
      <alignment horizontal="left" vertical="top"/>
      <protection locked="0"/>
    </xf>
    <xf numFmtId="165" fontId="23" fillId="0" borderId="4" xfId="9" applyNumberFormat="1" applyFont="1" applyBorder="1" applyAlignment="1" applyProtection="1">
      <alignment vertical="top"/>
      <protection hidden="1"/>
    </xf>
    <xf numFmtId="165" fontId="70" fillId="0" borderId="0" xfId="9" applyNumberFormat="1" applyFont="1" applyBorder="1" applyAlignment="1" applyProtection="1">
      <alignment horizontal="right" vertical="top"/>
      <protection locked="0"/>
    </xf>
    <xf numFmtId="37" fontId="23" fillId="6" borderId="0" xfId="0" applyNumberFormat="1" applyFont="1" applyFill="1" applyAlignment="1" applyProtection="1">
      <alignment horizontal="right" vertical="top"/>
      <protection locked="0"/>
    </xf>
    <xf numFmtId="0" fontId="23" fillId="0" borderId="0" xfId="0" applyFont="1" applyAlignment="1" applyProtection="1">
      <alignment horizontal="center"/>
      <protection hidden="1"/>
    </xf>
    <xf numFmtId="0" fontId="58" fillId="5" borderId="0" xfId="19" applyFont="1" applyFill="1" applyAlignment="1" applyProtection="1">
      <alignment horizontal="center"/>
      <protection locked="0"/>
    </xf>
    <xf numFmtId="0" fontId="46" fillId="6" borderId="3" xfId="19" applyFont="1" applyFill="1" applyBorder="1" applyAlignment="1" applyProtection="1">
      <alignment horizontal="left"/>
      <protection locked="0"/>
    </xf>
    <xf numFmtId="0" fontId="47" fillId="6" borderId="0" xfId="19" applyFont="1" applyFill="1" applyBorder="1" applyAlignment="1" applyProtection="1">
      <alignment horizontal="left"/>
      <protection locked="0"/>
    </xf>
    <xf numFmtId="0" fontId="46" fillId="6" borderId="0" xfId="19" applyFont="1" applyFill="1" applyBorder="1" applyAlignment="1" applyProtection="1">
      <alignment horizontal="center"/>
      <protection locked="0"/>
    </xf>
    <xf numFmtId="0" fontId="46" fillId="6" borderId="4" xfId="19" applyFont="1" applyFill="1" applyBorder="1" applyAlignment="1" applyProtection="1">
      <alignment horizontal="center"/>
      <protection locked="0"/>
    </xf>
    <xf numFmtId="165" fontId="48" fillId="5" borderId="0" xfId="21" applyNumberFormat="1" applyFont="1" applyFill="1" applyBorder="1" applyAlignment="1" applyProtection="1">
      <alignment horizontal="left"/>
      <protection locked="0"/>
    </xf>
    <xf numFmtId="0" fontId="47" fillId="5" borderId="0" xfId="19" applyFont="1" applyFill="1" applyBorder="1" applyAlignment="1" applyProtection="1">
      <alignment horizontal="left"/>
      <protection locked="0"/>
    </xf>
    <xf numFmtId="0" fontId="46" fillId="5" borderId="0" xfId="19" applyFont="1" applyFill="1" applyBorder="1" applyAlignment="1" applyProtection="1">
      <alignment horizontal="center"/>
      <protection locked="0"/>
    </xf>
    <xf numFmtId="0" fontId="47" fillId="2" borderId="0" xfId="19" applyFont="1" applyFill="1" applyBorder="1" applyAlignment="1" applyProtection="1">
      <alignment horizontal="left"/>
      <protection locked="0"/>
    </xf>
    <xf numFmtId="0" fontId="46" fillId="2" borderId="0" xfId="19" applyFont="1" applyFill="1" applyBorder="1" applyAlignment="1" applyProtection="1">
      <alignment horizontal="center"/>
      <protection locked="0"/>
    </xf>
    <xf numFmtId="0" fontId="11" fillId="5" borderId="0" xfId="19" applyFont="1" applyFill="1" applyProtection="1">
      <protection locked="0"/>
    </xf>
    <xf numFmtId="0" fontId="46" fillId="2" borderId="0" xfId="19" applyFont="1" applyFill="1" applyAlignment="1" applyProtection="1">
      <alignment horizontal="center"/>
      <protection locked="0"/>
    </xf>
    <xf numFmtId="0" fontId="48" fillId="2" borderId="0" xfId="19" applyFont="1" applyFill="1" applyAlignment="1" applyProtection="1">
      <alignment horizontal="center"/>
      <protection locked="0"/>
    </xf>
    <xf numFmtId="0" fontId="11" fillId="0" borderId="0" xfId="19" applyFont="1" applyProtection="1">
      <protection locked="0"/>
    </xf>
    <xf numFmtId="0" fontId="48" fillId="5" borderId="0" xfId="19" applyFont="1" applyFill="1" applyBorder="1" applyAlignment="1" applyProtection="1">
      <alignment horizontal="center"/>
      <protection locked="0"/>
    </xf>
    <xf numFmtId="0" fontId="48" fillId="5" borderId="0" xfId="19" applyFont="1" applyFill="1" applyAlignment="1" applyProtection="1">
      <alignment horizontal="center"/>
      <protection locked="0"/>
    </xf>
    <xf numFmtId="165" fontId="46" fillId="5" borderId="0" xfId="19" applyNumberFormat="1" applyFont="1" applyFill="1" applyBorder="1" applyAlignment="1" applyProtection="1">
      <alignment horizontal="left"/>
      <protection locked="0"/>
    </xf>
    <xf numFmtId="0" fontId="53" fillId="5" borderId="0" xfId="19" applyFont="1" applyFill="1" applyBorder="1" applyAlignment="1" applyProtection="1">
      <alignment vertical="top"/>
      <protection locked="0"/>
    </xf>
    <xf numFmtId="0" fontId="53" fillId="0" borderId="0" xfId="19" applyFont="1" applyFill="1" applyBorder="1" applyAlignment="1" applyProtection="1">
      <alignment vertical="top"/>
      <protection locked="0"/>
    </xf>
    <xf numFmtId="165" fontId="11" fillId="5" borderId="0" xfId="19" applyNumberFormat="1" applyFont="1" applyFill="1" applyBorder="1" applyProtection="1">
      <protection locked="0"/>
    </xf>
    <xf numFmtId="43" fontId="11" fillId="5" borderId="0" xfId="19" applyNumberFormat="1" applyFont="1" applyFill="1" applyBorder="1" applyProtection="1">
      <protection locked="0"/>
    </xf>
    <xf numFmtId="0" fontId="46" fillId="2" borderId="0" xfId="19" applyFont="1" applyFill="1" applyBorder="1" applyAlignment="1" applyProtection="1">
      <alignment horizontal="right"/>
      <protection locked="0"/>
    </xf>
    <xf numFmtId="0" fontId="45" fillId="19" borderId="0" xfId="0" applyFont="1" applyFill="1" applyBorder="1" applyAlignment="1" applyProtection="1">
      <alignment horizontal="center"/>
      <protection locked="0"/>
    </xf>
    <xf numFmtId="0" fontId="11" fillId="19" borderId="0" xfId="19" applyFont="1" applyFill="1" applyProtection="1">
      <protection locked="0"/>
    </xf>
    <xf numFmtId="0" fontId="46" fillId="19" borderId="0" xfId="0" applyFont="1" applyFill="1" applyBorder="1" applyAlignment="1" applyProtection="1">
      <alignment horizontal="center"/>
      <protection locked="0"/>
    </xf>
    <xf numFmtId="0" fontId="52" fillId="19" borderId="0" xfId="19" applyFont="1" applyFill="1" applyProtection="1">
      <protection locked="0"/>
    </xf>
    <xf numFmtId="0" fontId="46" fillId="19" borderId="0" xfId="19" applyFont="1" applyFill="1" applyAlignment="1" applyProtection="1">
      <alignment horizontal="left"/>
      <protection locked="0"/>
    </xf>
    <xf numFmtId="165" fontId="11" fillId="19" borderId="0" xfId="19" applyNumberFormat="1" applyFont="1" applyFill="1" applyProtection="1">
      <protection locked="0"/>
    </xf>
    <xf numFmtId="0" fontId="48" fillId="5" borderId="0" xfId="19" applyFont="1" applyFill="1" applyAlignment="1" applyProtection="1">
      <alignment horizontal="left" vertical="top" wrapText="1"/>
      <protection locked="0"/>
    </xf>
    <xf numFmtId="0" fontId="49" fillId="8" borderId="0" xfId="19" applyFont="1" applyFill="1" applyAlignment="1" applyProtection="1">
      <alignment horizontal="right"/>
      <protection locked="0"/>
    </xf>
    <xf numFmtId="0" fontId="49" fillId="8" borderId="0" xfId="19" applyFont="1" applyFill="1" applyProtection="1">
      <protection locked="0"/>
    </xf>
    <xf numFmtId="0" fontId="11" fillId="8" borderId="0" xfId="19" applyFont="1" applyFill="1" applyProtection="1">
      <protection locked="0"/>
    </xf>
    <xf numFmtId="0" fontId="11" fillId="8" borderId="0" xfId="19" applyFont="1" applyFill="1" applyBorder="1" applyProtection="1">
      <protection locked="0"/>
    </xf>
    <xf numFmtId="0" fontId="54" fillId="5" borderId="10" xfId="10" applyFont="1" applyFill="1" applyBorder="1" applyProtection="1">
      <protection locked="0"/>
    </xf>
    <xf numFmtId="0" fontId="11" fillId="5" borderId="2" xfId="19" applyFont="1" applyFill="1" applyBorder="1" applyProtection="1">
      <protection locked="0"/>
    </xf>
    <xf numFmtId="0" fontId="11" fillId="5" borderId="11" xfId="19" applyFont="1" applyFill="1" applyBorder="1" applyProtection="1">
      <protection locked="0"/>
    </xf>
    <xf numFmtId="0" fontId="11" fillId="5" borderId="3" xfId="19" applyFont="1" applyFill="1" applyBorder="1" applyProtection="1">
      <protection locked="0"/>
    </xf>
    <xf numFmtId="0" fontId="11" fillId="5" borderId="4" xfId="19" applyFont="1" applyFill="1" applyBorder="1" applyProtection="1">
      <protection locked="0"/>
    </xf>
    <xf numFmtId="0" fontId="11" fillId="5" borderId="5" xfId="0" applyFont="1" applyFill="1" applyBorder="1" applyAlignment="1" applyProtection="1">
      <alignment vertical="center"/>
      <protection locked="0"/>
    </xf>
    <xf numFmtId="0" fontId="11" fillId="5" borderId="1" xfId="19" applyFont="1" applyFill="1" applyBorder="1" applyProtection="1">
      <protection locked="0"/>
    </xf>
    <xf numFmtId="0" fontId="11" fillId="5" borderId="6" xfId="19" applyFont="1" applyFill="1" applyBorder="1" applyProtection="1">
      <protection locked="0"/>
    </xf>
    <xf numFmtId="0" fontId="13" fillId="0" borderId="0" xfId="0" applyFont="1" applyFill="1" applyAlignment="1" applyProtection="1">
      <alignment vertical="center"/>
      <protection locked="0"/>
    </xf>
    <xf numFmtId="0" fontId="13" fillId="0" borderId="0" xfId="19" applyFont="1" applyFill="1" applyProtection="1">
      <protection locked="0"/>
    </xf>
    <xf numFmtId="0" fontId="13" fillId="0" borderId="0" xfId="19" applyFont="1" applyProtection="1">
      <protection locked="0"/>
    </xf>
    <xf numFmtId="165" fontId="48" fillId="6" borderId="0" xfId="21" applyNumberFormat="1" applyFont="1" applyFill="1" applyBorder="1" applyAlignment="1" applyProtection="1">
      <alignment horizontal="left"/>
      <protection hidden="1"/>
    </xf>
    <xf numFmtId="165" fontId="48" fillId="6" borderId="1" xfId="21" applyNumberFormat="1" applyFont="1" applyFill="1" applyBorder="1" applyAlignment="1" applyProtection="1">
      <alignment horizontal="left"/>
      <protection hidden="1"/>
    </xf>
    <xf numFmtId="165" fontId="48" fillId="2" borderId="0" xfId="19" applyNumberFormat="1" applyFont="1" applyFill="1" applyAlignment="1" applyProtection="1">
      <alignment horizontal="left"/>
      <protection hidden="1"/>
    </xf>
    <xf numFmtId="165" fontId="11" fillId="5" borderId="0" xfId="19" applyNumberFormat="1" applyFont="1" applyFill="1" applyBorder="1" applyProtection="1">
      <protection hidden="1"/>
    </xf>
    <xf numFmtId="165" fontId="11" fillId="5" borderId="1" xfId="19" applyNumberFormat="1" applyFont="1" applyFill="1" applyBorder="1" applyProtection="1">
      <protection hidden="1"/>
    </xf>
    <xf numFmtId="165" fontId="48" fillId="5" borderId="0" xfId="19" applyNumberFormat="1" applyFont="1" applyFill="1" applyBorder="1" applyProtection="1">
      <protection hidden="1"/>
    </xf>
    <xf numFmtId="165" fontId="48" fillId="5" borderId="1" xfId="19" applyNumberFormat="1" applyFont="1" applyFill="1" applyBorder="1" applyProtection="1">
      <protection hidden="1"/>
    </xf>
    <xf numFmtId="0" fontId="53" fillId="5" borderId="0" xfId="19" applyFont="1" applyFill="1" applyBorder="1" applyAlignment="1" applyProtection="1">
      <alignment vertical="top"/>
      <protection hidden="1"/>
    </xf>
    <xf numFmtId="0" fontId="11" fillId="5" borderId="0" xfId="19" applyFont="1" applyFill="1" applyBorder="1" applyProtection="1">
      <protection hidden="1"/>
    </xf>
    <xf numFmtId="165" fontId="11" fillId="8" borderId="0" xfId="9" applyNumberFormat="1" applyFont="1" applyFill="1" applyProtection="1">
      <protection hidden="1"/>
    </xf>
    <xf numFmtId="165" fontId="11" fillId="8" borderId="0" xfId="9" applyNumberFormat="1" applyFont="1" applyFill="1" applyBorder="1" applyProtection="1">
      <protection hidden="1"/>
    </xf>
    <xf numFmtId="0" fontId="23" fillId="0" borderId="1" xfId="0" applyFont="1" applyBorder="1" applyAlignment="1" applyProtection="1">
      <alignment horizontal="right" vertical="top" wrapText="1"/>
      <protection locked="0"/>
    </xf>
    <xf numFmtId="0" fontId="36" fillId="9" borderId="1" xfId="0" applyFont="1" applyFill="1" applyBorder="1" applyAlignment="1" applyProtection="1">
      <alignment vertical="top" wrapText="1"/>
      <protection locked="0"/>
    </xf>
    <xf numFmtId="0" fontId="23" fillId="5" borderId="0" xfId="0" applyFont="1" applyFill="1" applyBorder="1" applyAlignment="1" applyProtection="1">
      <alignment horizontal="left" vertical="top"/>
      <protection locked="0"/>
    </xf>
    <xf numFmtId="0" fontId="24" fillId="2" borderId="0" xfId="0" applyFont="1" applyFill="1" applyBorder="1" applyAlignment="1" applyProtection="1">
      <alignment horizontal="left"/>
      <protection locked="0"/>
    </xf>
    <xf numFmtId="0" fontId="22" fillId="3" borderId="0" xfId="0" applyFont="1" applyFill="1" applyAlignment="1">
      <alignment horizontal="left"/>
    </xf>
    <xf numFmtId="0" fontId="23" fillId="17" borderId="0" xfId="0" applyFont="1" applyFill="1" applyAlignment="1">
      <alignment horizontal="left"/>
    </xf>
    <xf numFmtId="0" fontId="23" fillId="17" borderId="0" xfId="0" applyFont="1" applyFill="1" applyAlignment="1">
      <alignment horizontal="center"/>
    </xf>
    <xf numFmtId="0" fontId="35" fillId="14" borderId="13" xfId="0" applyFont="1" applyFill="1" applyBorder="1" applyAlignment="1" applyProtection="1">
      <alignment horizontal="center" vertical="top"/>
      <protection locked="0"/>
    </xf>
    <xf numFmtId="0" fontId="23" fillId="5" borderId="0" xfId="0" applyFont="1" applyFill="1" applyAlignment="1" applyProtection="1">
      <protection locked="0"/>
    </xf>
    <xf numFmtId="0" fontId="23" fillId="0" borderId="0" xfId="0" applyFont="1" applyAlignment="1"/>
    <xf numFmtId="0" fontId="23" fillId="0" borderId="0" xfId="0" applyFont="1" applyAlignment="1" applyProtection="1">
      <protection locked="0"/>
    </xf>
    <xf numFmtId="9" fontId="23" fillId="0" borderId="0" xfId="2" applyFont="1" applyAlignment="1" applyProtection="1">
      <protection locked="0"/>
    </xf>
    <xf numFmtId="0" fontId="23" fillId="0" borderId="0" xfId="0" applyFont="1" applyAlignment="1" applyProtection="1"/>
    <xf numFmtId="0" fontId="63" fillId="5" borderId="0" xfId="0" applyFont="1" applyFill="1" applyAlignment="1" applyProtection="1">
      <protection locked="0"/>
    </xf>
    <xf numFmtId="0" fontId="63" fillId="5" borderId="0" xfId="0" applyFont="1" applyFill="1" applyAlignment="1" applyProtection="1">
      <alignment horizontal="left"/>
      <protection locked="0"/>
    </xf>
    <xf numFmtId="0" fontId="22" fillId="0" borderId="0" xfId="0" applyFont="1" applyBorder="1" applyAlignment="1" applyProtection="1">
      <alignment vertical="top"/>
      <protection locked="0"/>
    </xf>
    <xf numFmtId="165" fontId="23" fillId="0" borderId="0" xfId="0" applyNumberFormat="1" applyFont="1" applyFill="1" applyAlignment="1" applyProtection="1">
      <alignment horizontal="right" vertical="top" wrapText="1"/>
      <protection hidden="1"/>
    </xf>
    <xf numFmtId="0" fontId="24" fillId="17" borderId="0" xfId="0" quotePrefix="1" applyFont="1" applyFill="1" applyAlignment="1">
      <alignment horizontal="left" vertical="top"/>
    </xf>
    <xf numFmtId="0" fontId="23" fillId="33" borderId="3" xfId="0" applyNumberFormat="1" applyFont="1" applyFill="1" applyBorder="1" applyAlignment="1" applyProtection="1">
      <alignment horizontal="center" vertical="center"/>
      <protection locked="0"/>
    </xf>
    <xf numFmtId="9" fontId="23" fillId="32" borderId="0" xfId="2" applyFont="1" applyFill="1" applyBorder="1" applyAlignment="1" applyProtection="1">
      <alignment horizontal="center"/>
      <protection locked="0"/>
    </xf>
    <xf numFmtId="0" fontId="25" fillId="19" borderId="0" xfId="0" applyFont="1" applyFill="1" applyAlignment="1" applyProtection="1">
      <alignment horizontal="right" vertical="center"/>
      <protection locked="0"/>
    </xf>
    <xf numFmtId="0" fontId="23" fillId="0" borderId="0" xfId="0" applyFont="1" applyAlignment="1" applyProtection="1">
      <alignment horizontal="center"/>
      <protection locked="0"/>
    </xf>
    <xf numFmtId="0" fontId="23" fillId="0" borderId="0" xfId="0" applyFont="1" applyAlignment="1">
      <alignment horizontal="center"/>
    </xf>
    <xf numFmtId="9" fontId="23" fillId="0" borderId="0" xfId="2" applyFont="1" applyAlignment="1" applyProtection="1">
      <alignment horizontal="center"/>
      <protection locked="0"/>
    </xf>
    <xf numFmtId="0" fontId="23" fillId="0" borderId="0" xfId="0" applyFont="1" applyAlignment="1" applyProtection="1">
      <alignment horizontal="center"/>
    </xf>
    <xf numFmtId="0" fontId="59" fillId="16" borderId="12" xfId="0" applyFont="1" applyFill="1" applyBorder="1" applyAlignment="1" applyProtection="1">
      <alignment horizontal="left"/>
      <protection locked="0"/>
    </xf>
    <xf numFmtId="0" fontId="60" fillId="16" borderId="12" xfId="0" applyFont="1" applyFill="1" applyBorder="1" applyAlignment="1" applyProtection="1">
      <alignment horizontal="left"/>
      <protection locked="0"/>
    </xf>
    <xf numFmtId="0" fontId="60" fillId="16" borderId="12" xfId="0" applyFont="1" applyFill="1" applyBorder="1" applyAlignment="1" applyProtection="1">
      <alignment horizontal="center"/>
      <protection locked="0"/>
    </xf>
    <xf numFmtId="10" fontId="23" fillId="33" borderId="0" xfId="2" applyNumberFormat="1" applyFont="1" applyFill="1" applyBorder="1" applyAlignment="1" applyProtection="1">
      <alignment horizontal="center" vertical="center"/>
      <protection locked="0"/>
    </xf>
    <xf numFmtId="0" fontId="23" fillId="33" borderId="5" xfId="0" applyNumberFormat="1" applyFont="1" applyFill="1" applyBorder="1" applyAlignment="1" applyProtection="1">
      <alignment horizontal="center" vertical="center"/>
      <protection locked="0"/>
    </xf>
    <xf numFmtId="10" fontId="23" fillId="33" borderId="1" xfId="2" applyNumberFormat="1" applyFont="1" applyFill="1" applyBorder="1" applyAlignment="1" applyProtection="1">
      <alignment horizontal="center" vertical="center"/>
      <protection locked="0"/>
    </xf>
    <xf numFmtId="0" fontId="23" fillId="0" borderId="0" xfId="0" applyFont="1" applyAlignment="1" applyProtection="1">
      <alignment horizontal="center"/>
      <protection locked="0"/>
    </xf>
    <xf numFmtId="0" fontId="23" fillId="0" borderId="0" xfId="0" applyFont="1" applyAlignment="1">
      <alignment horizontal="center"/>
    </xf>
    <xf numFmtId="9" fontId="23" fillId="0" borderId="0" xfId="2" applyFont="1" applyAlignment="1" applyProtection="1">
      <alignment horizontal="center"/>
      <protection locked="0"/>
    </xf>
    <xf numFmtId="0" fontId="23" fillId="0" borderId="0" xfId="0" applyFont="1" applyAlignment="1" applyProtection="1">
      <alignment horizontal="center"/>
    </xf>
    <xf numFmtId="0" fontId="23" fillId="0" borderId="0" xfId="0" applyFont="1" applyAlignment="1" applyProtection="1">
      <alignment horizontal="center"/>
      <protection locked="0"/>
    </xf>
    <xf numFmtId="0" fontId="23" fillId="0" borderId="0" xfId="0" applyFont="1" applyAlignment="1">
      <alignment horizontal="center"/>
    </xf>
    <xf numFmtId="9" fontId="23" fillId="0" borderId="0" xfId="2" applyFont="1" applyAlignment="1" applyProtection="1">
      <alignment horizontal="center"/>
      <protection locked="0"/>
    </xf>
    <xf numFmtId="0" fontId="23" fillId="0" borderId="0" xfId="0" applyFont="1" applyAlignment="1" applyProtection="1">
      <alignment horizontal="center"/>
    </xf>
    <xf numFmtId="0" fontId="59" fillId="16" borderId="12" xfId="0" applyFont="1" applyFill="1" applyBorder="1" applyAlignment="1" applyProtection="1">
      <alignment horizontal="left" vertical="top"/>
      <protection locked="0"/>
    </xf>
    <xf numFmtId="0" fontId="23" fillId="16" borderId="12" xfId="0" applyFont="1" applyFill="1" applyBorder="1" applyAlignment="1" applyProtection="1">
      <alignment horizontal="left"/>
      <protection locked="0"/>
    </xf>
    <xf numFmtId="0" fontId="23" fillId="16" borderId="12" xfId="0" applyFont="1" applyFill="1" applyBorder="1" applyAlignment="1" applyProtection="1">
      <alignment horizontal="center"/>
      <protection locked="0"/>
    </xf>
    <xf numFmtId="0" fontId="23" fillId="4" borderId="0" xfId="0" applyFont="1" applyFill="1" applyBorder="1" applyAlignment="1" applyProtection="1">
      <alignment horizontal="left"/>
      <protection locked="0"/>
    </xf>
    <xf numFmtId="0" fontId="23" fillId="4" borderId="0" xfId="0" applyFont="1" applyFill="1" applyBorder="1" applyAlignment="1" applyProtection="1">
      <alignment horizontal="center"/>
      <protection locked="0"/>
    </xf>
    <xf numFmtId="0" fontId="0" fillId="0" borderId="0" xfId="0"/>
    <xf numFmtId="0" fontId="22" fillId="3" borderId="0" xfId="0" applyFont="1" applyFill="1" applyAlignment="1">
      <alignment horizontal="left"/>
    </xf>
    <xf numFmtId="0" fontId="60" fillId="3" borderId="0" xfId="0" applyFont="1" applyFill="1" applyBorder="1" applyAlignment="1" applyProtection="1">
      <alignment horizontal="left"/>
      <protection locked="0"/>
    </xf>
    <xf numFmtId="0" fontId="60" fillId="3" borderId="0" xfId="0" applyFont="1" applyFill="1" applyBorder="1" applyAlignment="1" applyProtection="1">
      <alignment horizontal="center"/>
      <protection locked="0"/>
    </xf>
    <xf numFmtId="0" fontId="23" fillId="0" borderId="0" xfId="0" applyFont="1" applyAlignment="1" applyProtection="1">
      <alignment horizontal="center"/>
      <protection locked="0"/>
    </xf>
    <xf numFmtId="0" fontId="23" fillId="0" borderId="0" xfId="0" applyFont="1" applyAlignment="1">
      <alignment horizontal="center"/>
    </xf>
    <xf numFmtId="9" fontId="23" fillId="0" borderId="0" xfId="2" applyFont="1" applyAlignment="1" applyProtection="1">
      <alignment horizontal="center"/>
      <protection locked="0"/>
    </xf>
    <xf numFmtId="0" fontId="23" fillId="0" borderId="0" xfId="0" applyFont="1" applyAlignment="1" applyProtection="1">
      <alignment horizontal="center"/>
    </xf>
    <xf numFmtId="0" fontId="24" fillId="17" borderId="0" xfId="0" applyFont="1" applyFill="1" applyAlignment="1">
      <alignment horizontal="left" vertical="top"/>
    </xf>
    <xf numFmtId="0" fontId="23" fillId="17" borderId="0" xfId="0" applyFont="1" applyFill="1" applyAlignment="1">
      <alignment horizontal="left"/>
    </xf>
    <xf numFmtId="0" fontId="23" fillId="17" borderId="0" xfId="0" applyFont="1" applyFill="1" applyAlignment="1">
      <alignment horizontal="center"/>
    </xf>
    <xf numFmtId="9" fontId="23" fillId="0" borderId="0" xfId="2" applyFont="1" applyAlignment="1">
      <alignment horizontal="center"/>
    </xf>
    <xf numFmtId="0" fontId="23" fillId="19" borderId="0" xfId="0" applyFont="1" applyFill="1" applyAlignment="1" applyProtection="1">
      <alignment vertical="top"/>
      <protection locked="0"/>
    </xf>
    <xf numFmtId="10" fontId="23" fillId="20" borderId="8" xfId="2" applyNumberFormat="1" applyFont="1" applyFill="1" applyBorder="1" applyAlignment="1" applyProtection="1">
      <alignment horizontal="right" vertical="top"/>
      <protection locked="0"/>
    </xf>
    <xf numFmtId="0" fontId="22" fillId="3" borderId="13" xfId="0" applyFont="1" applyFill="1" applyBorder="1" applyAlignment="1" applyProtection="1">
      <alignment horizontal="center"/>
      <protection locked="0"/>
    </xf>
    <xf numFmtId="0" fontId="22" fillId="3" borderId="38" xfId="0" applyFont="1" applyFill="1" applyBorder="1" applyAlignment="1" applyProtection="1">
      <alignment horizontal="center"/>
      <protection locked="0"/>
    </xf>
    <xf numFmtId="0" fontId="22" fillId="3" borderId="36" xfId="0" applyFont="1" applyFill="1" applyBorder="1" applyAlignment="1" applyProtection="1">
      <alignment horizontal="center"/>
      <protection locked="0"/>
    </xf>
    <xf numFmtId="0" fontId="22" fillId="3" borderId="39" xfId="0" applyFont="1" applyFill="1" applyBorder="1" applyAlignment="1" applyProtection="1">
      <alignment horizontal="center"/>
      <protection locked="0"/>
    </xf>
    <xf numFmtId="0" fontId="23" fillId="19" borderId="0" xfId="0" applyFont="1" applyFill="1" applyAlignment="1">
      <alignment horizontal="center"/>
    </xf>
    <xf numFmtId="0" fontId="23" fillId="19" borderId="0" xfId="0" applyFont="1" applyFill="1" applyBorder="1" applyAlignment="1" applyProtection="1">
      <alignment horizontal="center"/>
    </xf>
    <xf numFmtId="0" fontId="24" fillId="8" borderId="0" xfId="0" applyFont="1" applyFill="1" applyBorder="1" applyAlignment="1" applyProtection="1">
      <alignment horizontal="left"/>
      <protection locked="0"/>
    </xf>
    <xf numFmtId="0" fontId="23" fillId="8" borderId="0" xfId="0" applyFont="1" applyFill="1" applyBorder="1" applyAlignment="1" applyProtection="1">
      <alignment horizontal="left"/>
      <protection locked="0"/>
    </xf>
    <xf numFmtId="0" fontId="23" fillId="8" borderId="0" xfId="0" applyFont="1" applyFill="1" applyBorder="1" applyAlignment="1" applyProtection="1">
      <alignment horizontal="center"/>
      <protection locked="0"/>
    </xf>
    <xf numFmtId="0" fontId="24" fillId="17" borderId="0" xfId="0" quotePrefix="1" applyFont="1" applyFill="1" applyAlignment="1">
      <alignment horizontal="left" vertical="top"/>
    </xf>
    <xf numFmtId="9" fontId="23" fillId="33" borderId="0" xfId="2" applyFont="1" applyFill="1" applyBorder="1" applyAlignment="1" applyProtection="1">
      <alignment horizontal="center" vertical="center"/>
      <protection locked="0"/>
    </xf>
    <xf numFmtId="9" fontId="23" fillId="20" borderId="0" xfId="2" applyNumberFormat="1" applyFont="1" applyFill="1" applyBorder="1" applyAlignment="1" applyProtection="1">
      <alignment horizontal="center" vertical="center"/>
      <protection locked="0"/>
    </xf>
    <xf numFmtId="10" fontId="23" fillId="20" borderId="0" xfId="2" applyNumberFormat="1" applyFont="1" applyFill="1" applyBorder="1" applyAlignment="1" applyProtection="1">
      <alignment horizontal="center" vertical="center"/>
      <protection locked="0"/>
    </xf>
    <xf numFmtId="9" fontId="23" fillId="33" borderId="1" xfId="2" applyFont="1" applyFill="1" applyBorder="1" applyAlignment="1" applyProtection="1">
      <alignment horizontal="center" vertical="center"/>
      <protection locked="0"/>
    </xf>
    <xf numFmtId="10" fontId="23" fillId="20" borderId="1" xfId="2" applyNumberFormat="1" applyFont="1" applyFill="1" applyBorder="1" applyAlignment="1" applyProtection="1">
      <alignment horizontal="center" vertical="center"/>
      <protection locked="0"/>
    </xf>
    <xf numFmtId="2" fontId="72" fillId="0" borderId="0" xfId="0" applyNumberFormat="1" applyFont="1" applyBorder="1" applyAlignment="1" applyProtection="1">
      <alignment horizontal="left" vertical="top"/>
      <protection hidden="1"/>
    </xf>
    <xf numFmtId="0" fontId="73" fillId="0" borderId="0" xfId="0" applyFont="1" applyFill="1" applyBorder="1" applyAlignment="1" applyProtection="1">
      <alignment horizontal="left" vertical="top"/>
      <protection locked="0"/>
    </xf>
    <xf numFmtId="37" fontId="23" fillId="2" borderId="0" xfId="0" applyNumberFormat="1" applyFont="1" applyFill="1" applyBorder="1" applyAlignment="1" applyProtection="1">
      <alignment horizontal="center"/>
      <protection locked="0"/>
    </xf>
    <xf numFmtId="10" fontId="23" fillId="0" borderId="0" xfId="2" applyNumberFormat="1" applyFont="1" applyFill="1" applyAlignment="1" applyProtection="1">
      <alignment horizontal="center"/>
      <protection locked="0"/>
    </xf>
    <xf numFmtId="0" fontId="25" fillId="2" borderId="0" xfId="0" applyFont="1" applyFill="1" applyAlignment="1" applyProtection="1">
      <alignment vertical="top"/>
      <protection locked="0"/>
    </xf>
    <xf numFmtId="0" fontId="27" fillId="2" borderId="0" xfId="0" applyFont="1" applyFill="1" applyBorder="1" applyAlignment="1" applyProtection="1">
      <alignment vertical="top"/>
      <protection locked="0"/>
    </xf>
    <xf numFmtId="0" fontId="24" fillId="8" borderId="0" xfId="0" applyFont="1" applyFill="1" applyBorder="1" applyAlignment="1" applyProtection="1">
      <alignment horizontal="left" vertical="top"/>
      <protection locked="0"/>
    </xf>
    <xf numFmtId="0" fontId="17" fillId="0" borderId="4" xfId="0" applyFont="1" applyFill="1" applyBorder="1" applyAlignment="1" applyProtection="1">
      <alignment horizontal="right"/>
      <protection locked="0"/>
    </xf>
    <xf numFmtId="0" fontId="17" fillId="0" borderId="4" xfId="0" applyFont="1" applyBorder="1" applyAlignment="1" applyProtection="1">
      <alignment horizontal="right"/>
      <protection locked="0"/>
    </xf>
    <xf numFmtId="166" fontId="37" fillId="0" borderId="6" xfId="2" applyNumberFormat="1" applyFont="1" applyFill="1" applyBorder="1" applyAlignment="1" applyProtection="1">
      <alignment horizontal="center"/>
      <protection hidden="1"/>
    </xf>
    <xf numFmtId="0" fontId="23" fillId="6" borderId="0" xfId="0" applyFont="1" applyFill="1" applyBorder="1" applyAlignment="1" applyProtection="1">
      <alignment horizontal="left" vertical="top"/>
      <protection locked="0"/>
    </xf>
    <xf numFmtId="165" fontId="37" fillId="26" borderId="0" xfId="9" applyNumberFormat="1" applyFont="1" applyFill="1" applyBorder="1" applyAlignment="1" applyProtection="1">
      <alignment horizontal="center" vertical="top"/>
      <protection locked="0"/>
    </xf>
    <xf numFmtId="165" fontId="66" fillId="27" borderId="4" xfId="9" applyNumberFormat="1" applyFont="1" applyFill="1" applyBorder="1" applyAlignment="1" applyProtection="1">
      <alignment horizontal="center" vertical="top"/>
      <protection locked="0"/>
    </xf>
    <xf numFmtId="0" fontId="22" fillId="0" borderId="0" xfId="0" applyFont="1" applyAlignment="1">
      <alignment horizontal="center"/>
    </xf>
    <xf numFmtId="0" fontId="23" fillId="14" borderId="0" xfId="0" applyFont="1" applyFill="1" applyAlignment="1" applyProtection="1">
      <alignment horizontal="center" vertical="top"/>
      <protection locked="0"/>
    </xf>
    <xf numFmtId="0" fontId="23" fillId="14" borderId="1" xfId="0" applyFont="1" applyFill="1" applyBorder="1" applyAlignment="1" applyProtection="1">
      <alignment horizontal="center" vertical="top"/>
      <protection locked="0"/>
    </xf>
    <xf numFmtId="37" fontId="24" fillId="14" borderId="45" xfId="9" applyNumberFormat="1" applyFont="1" applyFill="1" applyBorder="1" applyAlignment="1" applyProtection="1">
      <alignment horizontal="right"/>
      <protection locked="0"/>
    </xf>
    <xf numFmtId="0" fontId="44" fillId="6" borderId="0" xfId="0" applyFont="1" applyFill="1" applyAlignment="1" applyProtection="1">
      <alignment horizontal="left" vertical="top" wrapText="1"/>
      <protection locked="0"/>
    </xf>
    <xf numFmtId="37" fontId="24" fillId="14" borderId="45" xfId="9" applyNumberFormat="1" applyFont="1" applyFill="1" applyBorder="1" applyAlignment="1" applyProtection="1">
      <alignment horizontal="right" vertical="top"/>
      <protection locked="0"/>
    </xf>
    <xf numFmtId="0" fontId="23" fillId="0" borderId="0" xfId="0" applyFont="1" applyBorder="1" applyAlignment="1" applyProtection="1">
      <alignment horizontal="left" vertical="top"/>
      <protection locked="0"/>
    </xf>
    <xf numFmtId="9" fontId="22" fillId="0" borderId="0" xfId="2" applyFont="1" applyAlignment="1" applyProtection="1">
      <alignment horizontal="center"/>
      <protection locked="0"/>
    </xf>
    <xf numFmtId="0" fontId="22" fillId="0" borderId="0" xfId="0" applyFont="1" applyAlignment="1" applyProtection="1">
      <alignment horizontal="center"/>
      <protection locked="0"/>
    </xf>
    <xf numFmtId="0" fontId="23" fillId="19" borderId="1" xfId="0" applyFont="1" applyFill="1" applyBorder="1" applyAlignment="1" applyProtection="1">
      <alignment horizontal="center"/>
      <protection locked="0"/>
    </xf>
    <xf numFmtId="165" fontId="28" fillId="0" borderId="0" xfId="11" applyNumberFormat="1" applyFont="1" applyFill="1" applyBorder="1" applyAlignment="1">
      <alignment horizontal="left" vertical="top"/>
    </xf>
    <xf numFmtId="0" fontId="23" fillId="0" borderId="0" xfId="12" applyFont="1" applyFill="1" applyBorder="1" applyAlignment="1">
      <alignment horizontal="right" vertical="top"/>
    </xf>
    <xf numFmtId="0" fontId="22" fillId="0" borderId="0" xfId="0" applyFont="1" applyFill="1" applyBorder="1" applyAlignment="1" applyProtection="1">
      <alignment horizontal="left" vertical="top"/>
      <protection locked="0"/>
    </xf>
    <xf numFmtId="165" fontId="28" fillId="0" borderId="0" xfId="9" applyNumberFormat="1" applyFont="1" applyBorder="1" applyAlignment="1" applyProtection="1">
      <alignment horizontal="right" vertical="top"/>
      <protection locked="0"/>
    </xf>
    <xf numFmtId="165" fontId="23" fillId="0" borderId="0" xfId="11" applyNumberFormat="1" applyFont="1" applyFill="1" applyAlignment="1">
      <alignment horizontal="right" vertical="top" wrapText="1"/>
    </xf>
    <xf numFmtId="0" fontId="25" fillId="0" borderId="0" xfId="12" applyFont="1" applyFill="1" applyAlignment="1">
      <alignment horizontal="right" vertical="top"/>
    </xf>
    <xf numFmtId="0" fontId="23" fillId="0" borderId="0" xfId="12" applyFont="1" applyFill="1" applyAlignment="1">
      <alignment horizontal="right" vertical="top" wrapText="1"/>
    </xf>
    <xf numFmtId="165" fontId="23" fillId="0" borderId="1" xfId="11" applyNumberFormat="1" applyFont="1" applyFill="1" applyBorder="1" applyAlignment="1">
      <alignment horizontal="right" vertical="top"/>
    </xf>
    <xf numFmtId="0" fontId="23" fillId="0" borderId="0" xfId="12" applyFont="1" applyFill="1" applyAlignment="1">
      <alignment horizontal="left"/>
    </xf>
    <xf numFmtId="165" fontId="28" fillId="0" borderId="0" xfId="11" applyNumberFormat="1" applyFont="1" applyFill="1" applyBorder="1" applyAlignment="1">
      <alignment horizontal="right" vertical="top"/>
    </xf>
    <xf numFmtId="0" fontId="23" fillId="0" borderId="0" xfId="12" applyFont="1" applyFill="1" applyBorder="1" applyAlignment="1">
      <alignment horizontal="right" vertical="top" wrapText="1"/>
    </xf>
    <xf numFmtId="165" fontId="23" fillId="0" borderId="0" xfId="11" applyNumberFormat="1" applyFont="1" applyFill="1" applyAlignment="1">
      <alignment horizontal="right" vertical="top" wrapText="1"/>
    </xf>
    <xf numFmtId="0" fontId="25" fillId="0" borderId="0" xfId="12" applyFont="1" applyFill="1" applyAlignment="1">
      <alignment horizontal="right" vertical="top"/>
    </xf>
    <xf numFmtId="165" fontId="23" fillId="0" borderId="0" xfId="11" applyNumberFormat="1" applyFont="1" applyFill="1" applyAlignment="1">
      <alignment horizontal="right" vertical="top"/>
    </xf>
    <xf numFmtId="0" fontId="23" fillId="14" borderId="3" xfId="0" applyFont="1" applyFill="1" applyBorder="1" applyAlignment="1" applyProtection="1">
      <alignment vertical="top" wrapText="1"/>
      <protection locked="0"/>
    </xf>
    <xf numFmtId="165" fontId="23" fillId="14" borderId="0" xfId="14" quotePrefix="1" applyNumberFormat="1" applyFont="1" applyFill="1" applyBorder="1" applyAlignment="1" applyProtection="1">
      <alignment horizontal="left" vertical="top"/>
      <protection hidden="1"/>
    </xf>
    <xf numFmtId="0" fontId="23" fillId="14" borderId="3" xfId="0" applyFont="1" applyFill="1" applyBorder="1" applyAlignment="1" applyProtection="1">
      <alignment vertical="top"/>
      <protection locked="0"/>
    </xf>
    <xf numFmtId="165" fontId="23" fillId="14" borderId="1" xfId="14" quotePrefix="1" applyNumberFormat="1" applyFont="1" applyFill="1" applyBorder="1" applyAlignment="1" applyProtection="1">
      <alignment horizontal="left" vertical="top"/>
      <protection hidden="1"/>
    </xf>
    <xf numFmtId="0" fontId="23" fillId="14" borderId="5" xfId="0" applyFont="1" applyFill="1" applyBorder="1" applyAlignment="1" applyProtection="1">
      <alignment vertical="top"/>
      <protection locked="0"/>
    </xf>
    <xf numFmtId="0" fontId="23" fillId="14" borderId="1" xfId="0" applyFont="1" applyFill="1" applyBorder="1" applyAlignment="1" applyProtection="1">
      <alignment horizontal="right" vertical="top" wrapText="1"/>
      <protection locked="0"/>
    </xf>
    <xf numFmtId="165" fontId="22" fillId="14" borderId="1" xfId="14" applyNumberFormat="1" applyFont="1" applyFill="1" applyBorder="1" applyAlignment="1" applyProtection="1">
      <alignment horizontal="right" vertical="top" wrapText="1"/>
      <protection locked="0"/>
    </xf>
    <xf numFmtId="0" fontId="23" fillId="14" borderId="6" xfId="0" applyFont="1" applyFill="1" applyBorder="1" applyAlignment="1" applyProtection="1">
      <alignment horizontal="right" vertical="top" wrapText="1"/>
      <protection locked="0"/>
    </xf>
    <xf numFmtId="165" fontId="23" fillId="14" borderId="0" xfId="9" applyNumberFormat="1" applyFont="1" applyFill="1" applyBorder="1" applyAlignment="1" applyProtection="1">
      <alignment horizontal="right" vertical="top" wrapText="1"/>
      <protection hidden="1"/>
    </xf>
    <xf numFmtId="165" fontId="23" fillId="14" borderId="4" xfId="9" applyNumberFormat="1" applyFont="1" applyFill="1" applyBorder="1" applyAlignment="1" applyProtection="1">
      <alignment horizontal="right" vertical="top" wrapText="1"/>
      <protection hidden="1"/>
    </xf>
    <xf numFmtId="165" fontId="23" fillId="14" borderId="0" xfId="0" applyNumberFormat="1" applyFont="1" applyFill="1" applyBorder="1" applyAlignment="1" applyProtection="1">
      <alignment horizontal="right" vertical="top" wrapText="1"/>
      <protection hidden="1"/>
    </xf>
    <xf numFmtId="165" fontId="23" fillId="14" borderId="1" xfId="0" applyNumberFormat="1" applyFont="1" applyFill="1" applyBorder="1" applyAlignment="1" applyProtection="1">
      <alignment horizontal="right" vertical="top" wrapText="1"/>
      <protection hidden="1"/>
    </xf>
    <xf numFmtId="165" fontId="23" fillId="14" borderId="6" xfId="9" applyNumberFormat="1" applyFont="1" applyFill="1" applyBorder="1" applyAlignment="1" applyProtection="1">
      <alignment horizontal="right" vertical="top" wrapText="1"/>
      <protection hidden="1"/>
    </xf>
    <xf numFmtId="165" fontId="23" fillId="14" borderId="0" xfId="14" applyNumberFormat="1" applyFont="1" applyFill="1" applyBorder="1" applyAlignment="1" applyProtection="1">
      <alignment horizontal="right" vertical="top" wrapText="1"/>
      <protection hidden="1"/>
    </xf>
    <xf numFmtId="0" fontId="22" fillId="0" borderId="1" xfId="0" applyFont="1" applyBorder="1" applyAlignment="1" applyProtection="1">
      <alignment vertical="top"/>
      <protection locked="0"/>
    </xf>
    <xf numFmtId="165" fontId="23" fillId="14" borderId="0" xfId="14" quotePrefix="1" applyNumberFormat="1" applyFont="1" applyFill="1" applyBorder="1" applyAlignment="1" applyProtection="1">
      <alignment horizontal="right" vertical="top"/>
      <protection hidden="1"/>
    </xf>
    <xf numFmtId="165" fontId="23" fillId="14" borderId="1" xfId="14" quotePrefix="1" applyNumberFormat="1" applyFont="1" applyFill="1" applyBorder="1" applyAlignment="1" applyProtection="1">
      <alignment horizontal="right" vertical="top"/>
      <protection hidden="1"/>
    </xf>
    <xf numFmtId="165" fontId="23" fillId="14" borderId="0" xfId="9" applyNumberFormat="1" applyFont="1" applyFill="1" applyBorder="1" applyAlignment="1" applyProtection="1">
      <alignment horizontal="right" vertical="top"/>
      <protection hidden="1"/>
    </xf>
    <xf numFmtId="165" fontId="23" fillId="14" borderId="4" xfId="9" applyNumberFormat="1" applyFont="1" applyFill="1" applyBorder="1" applyAlignment="1" applyProtection="1">
      <alignment horizontal="right" vertical="top"/>
      <protection hidden="1"/>
    </xf>
    <xf numFmtId="165" fontId="23" fillId="14" borderId="0" xfId="0" applyNumberFormat="1" applyFont="1" applyFill="1" applyBorder="1" applyAlignment="1" applyProtection="1">
      <alignment horizontal="right" vertical="top"/>
      <protection hidden="1"/>
    </xf>
    <xf numFmtId="165" fontId="23" fillId="14" borderId="1" xfId="0" applyNumberFormat="1" applyFont="1" applyFill="1" applyBorder="1" applyAlignment="1" applyProtection="1">
      <alignment horizontal="right" vertical="top"/>
      <protection hidden="1"/>
    </xf>
    <xf numFmtId="165" fontId="23" fillId="14" borderId="6" xfId="9" applyNumberFormat="1" applyFont="1" applyFill="1" applyBorder="1" applyAlignment="1" applyProtection="1">
      <alignment horizontal="right" vertical="top"/>
      <protection hidden="1"/>
    </xf>
    <xf numFmtId="165" fontId="23" fillId="14" borderId="0" xfId="14" applyNumberFormat="1" applyFont="1" applyFill="1" applyBorder="1" applyAlignment="1" applyProtection="1">
      <alignment horizontal="right" vertical="top"/>
      <protection hidden="1"/>
    </xf>
    <xf numFmtId="165" fontId="23" fillId="0" borderId="0" xfId="14" applyNumberFormat="1" applyFont="1" applyAlignment="1" applyProtection="1">
      <alignment horizontal="right" vertical="top"/>
      <protection hidden="1"/>
    </xf>
    <xf numFmtId="165" fontId="23" fillId="0" borderId="1" xfId="14" applyNumberFormat="1" applyFont="1" applyBorder="1" applyAlignment="1" applyProtection="1">
      <alignment horizontal="right" vertical="top"/>
      <protection hidden="1"/>
    </xf>
    <xf numFmtId="165" fontId="22" fillId="0" borderId="2" xfId="14" applyNumberFormat="1" applyFont="1" applyBorder="1" applyAlignment="1" applyProtection="1">
      <alignment horizontal="right" vertical="top"/>
      <protection hidden="1"/>
    </xf>
    <xf numFmtId="165" fontId="22" fillId="0" borderId="0" xfId="14" applyNumberFormat="1" applyFont="1" applyAlignment="1" applyProtection="1">
      <alignment horizontal="right" vertical="top"/>
      <protection hidden="1"/>
    </xf>
    <xf numFmtId="165" fontId="23" fillId="0" borderId="0" xfId="14" applyNumberFormat="1" applyFont="1" applyBorder="1" applyAlignment="1" applyProtection="1">
      <alignment horizontal="right" vertical="top"/>
      <protection locked="0"/>
    </xf>
    <xf numFmtId="165" fontId="23" fillId="0" borderId="0" xfId="14" applyNumberFormat="1" applyFont="1" applyFill="1" applyBorder="1" applyAlignment="1" applyProtection="1">
      <alignment horizontal="right" vertical="top"/>
      <protection locked="0"/>
    </xf>
    <xf numFmtId="165" fontId="23" fillId="0" borderId="0" xfId="14" applyNumberFormat="1" applyFont="1" applyAlignment="1" applyProtection="1">
      <alignment horizontal="right" vertical="top"/>
      <protection locked="0"/>
    </xf>
    <xf numFmtId="165" fontId="23" fillId="0" borderId="0" xfId="14" applyNumberFormat="1" applyFont="1" applyBorder="1" applyAlignment="1" applyProtection="1">
      <alignment horizontal="right" vertical="top"/>
      <protection hidden="1"/>
    </xf>
    <xf numFmtId="165" fontId="22" fillId="0" borderId="0" xfId="14" applyNumberFormat="1" applyFont="1" applyBorder="1" applyAlignment="1" applyProtection="1">
      <alignment horizontal="right" vertical="top"/>
      <protection hidden="1"/>
    </xf>
    <xf numFmtId="165" fontId="23" fillId="0" borderId="0" xfId="14" quotePrefix="1" applyNumberFormat="1" applyFont="1" applyFill="1" applyBorder="1" applyAlignment="1" applyProtection="1">
      <alignment horizontal="right" vertical="top"/>
      <protection locked="0"/>
    </xf>
    <xf numFmtId="165" fontId="23" fillId="0" borderId="0" xfId="14" applyNumberFormat="1" applyFont="1" applyFill="1" applyBorder="1" applyAlignment="1" applyProtection="1">
      <alignment horizontal="right" vertical="top"/>
      <protection hidden="1"/>
    </xf>
    <xf numFmtId="10" fontId="22" fillId="0" borderId="0" xfId="2" applyNumberFormat="1" applyFont="1" applyFill="1" applyBorder="1" applyAlignment="1" applyProtection="1">
      <alignment horizontal="right" vertical="top"/>
      <protection hidden="1"/>
    </xf>
    <xf numFmtId="10" fontId="23" fillId="0" borderId="0" xfId="2" applyNumberFormat="1" applyFont="1" applyAlignment="1" applyProtection="1">
      <alignment horizontal="right" vertical="top"/>
      <protection hidden="1"/>
    </xf>
    <xf numFmtId="165" fontId="22" fillId="0" borderId="0" xfId="14" applyNumberFormat="1" applyFont="1" applyFill="1" applyBorder="1" applyAlignment="1" applyProtection="1">
      <alignment horizontal="right" vertical="top"/>
      <protection hidden="1"/>
    </xf>
    <xf numFmtId="165" fontId="23" fillId="0" borderId="0" xfId="14" quotePrefix="1" applyNumberFormat="1" applyFont="1" applyFill="1" applyAlignment="1" applyProtection="1">
      <alignment horizontal="right" vertical="top"/>
      <protection locked="0"/>
    </xf>
    <xf numFmtId="165" fontId="23" fillId="0" borderId="0" xfId="14" applyNumberFormat="1" applyFont="1" applyFill="1" applyAlignment="1" applyProtection="1">
      <alignment horizontal="right" vertical="top"/>
      <protection locked="0"/>
    </xf>
    <xf numFmtId="165" fontId="22" fillId="0" borderId="1" xfId="14" applyNumberFormat="1" applyFont="1" applyBorder="1" applyAlignment="1" applyProtection="1">
      <alignment horizontal="right" vertical="top"/>
      <protection hidden="1"/>
    </xf>
    <xf numFmtId="165" fontId="22" fillId="0" borderId="1" xfId="14" applyNumberFormat="1" applyFont="1" applyFill="1" applyBorder="1" applyAlignment="1" applyProtection="1">
      <alignment horizontal="right" vertical="top"/>
      <protection hidden="1"/>
    </xf>
    <xf numFmtId="165" fontId="23" fillId="0" borderId="0" xfId="14" applyNumberFormat="1" applyFont="1" applyAlignment="1" applyProtection="1">
      <protection hidden="1"/>
    </xf>
    <xf numFmtId="165" fontId="23" fillId="0" borderId="1" xfId="14" applyNumberFormat="1" applyFont="1" applyBorder="1" applyAlignment="1" applyProtection="1">
      <protection hidden="1"/>
    </xf>
    <xf numFmtId="165" fontId="22" fillId="0" borderId="2" xfId="14" applyNumberFormat="1" applyFont="1" applyBorder="1" applyAlignment="1" applyProtection="1">
      <protection hidden="1"/>
    </xf>
    <xf numFmtId="165" fontId="22" fillId="0" borderId="0" xfId="14" applyNumberFormat="1" applyFont="1" applyAlignment="1" applyProtection="1">
      <protection hidden="1"/>
    </xf>
    <xf numFmtId="165" fontId="23" fillId="0" borderId="0" xfId="14" applyNumberFormat="1" applyFont="1" applyBorder="1" applyAlignment="1" applyProtection="1">
      <protection locked="0"/>
    </xf>
    <xf numFmtId="165" fontId="23" fillId="0" borderId="0" xfId="14" applyNumberFormat="1" applyFont="1" applyFill="1" applyBorder="1" applyAlignment="1" applyProtection="1">
      <protection locked="0"/>
    </xf>
    <xf numFmtId="165" fontId="23" fillId="0" borderId="0" xfId="14" applyNumberFormat="1" applyFont="1" applyAlignment="1" applyProtection="1">
      <protection locked="0"/>
    </xf>
    <xf numFmtId="165" fontId="23" fillId="0" borderId="0" xfId="14" applyNumberFormat="1" applyFont="1" applyBorder="1" applyAlignment="1" applyProtection="1">
      <protection hidden="1"/>
    </xf>
    <xf numFmtId="165" fontId="23" fillId="0" borderId="0" xfId="14" quotePrefix="1" applyNumberFormat="1" applyFont="1" applyFill="1" applyAlignment="1" applyProtection="1">
      <protection hidden="1"/>
    </xf>
    <xf numFmtId="165" fontId="22" fillId="0" borderId="0" xfId="14" applyNumberFormat="1" applyFont="1" applyBorder="1" applyAlignment="1" applyProtection="1">
      <protection hidden="1"/>
    </xf>
    <xf numFmtId="165" fontId="22" fillId="0" borderId="0" xfId="14" quotePrefix="1" applyNumberFormat="1" applyFont="1" applyFill="1" applyAlignment="1" applyProtection="1">
      <protection hidden="1"/>
    </xf>
    <xf numFmtId="165" fontId="23" fillId="0" borderId="0" xfId="14" quotePrefix="1" applyNumberFormat="1" applyFont="1" applyFill="1" applyBorder="1" applyAlignment="1" applyProtection="1">
      <protection locked="0"/>
    </xf>
    <xf numFmtId="165" fontId="23" fillId="0" borderId="0" xfId="14" applyNumberFormat="1" applyFont="1" applyFill="1" applyBorder="1" applyAlignment="1" applyProtection="1">
      <protection hidden="1"/>
    </xf>
    <xf numFmtId="10" fontId="22" fillId="0" borderId="0" xfId="2" applyNumberFormat="1" applyFont="1" applyFill="1" applyBorder="1" applyAlignment="1" applyProtection="1">
      <protection hidden="1"/>
    </xf>
    <xf numFmtId="10" fontId="23" fillId="0" borderId="0" xfId="2" applyNumberFormat="1" applyFont="1" applyAlignment="1" applyProtection="1">
      <protection hidden="1"/>
    </xf>
    <xf numFmtId="165" fontId="22" fillId="0" borderId="0" xfId="14" applyNumberFormat="1" applyFont="1" applyFill="1" applyBorder="1" applyAlignment="1" applyProtection="1">
      <protection hidden="1"/>
    </xf>
    <xf numFmtId="165" fontId="22" fillId="0" borderId="0" xfId="14" quotePrefix="1" applyNumberFormat="1" applyFont="1" applyFill="1" applyBorder="1" applyAlignment="1" applyProtection="1">
      <protection hidden="1"/>
    </xf>
    <xf numFmtId="165" fontId="23" fillId="0" borderId="0" xfId="14" quotePrefix="1" applyNumberFormat="1" applyFont="1" applyFill="1" applyAlignment="1" applyProtection="1">
      <protection locked="0"/>
    </xf>
    <xf numFmtId="165" fontId="23" fillId="0" borderId="0" xfId="14" applyNumberFormat="1" applyFont="1" applyFill="1" applyAlignment="1" applyProtection="1">
      <protection locked="0"/>
    </xf>
    <xf numFmtId="165" fontId="22" fillId="0" borderId="1" xfId="14" applyNumberFormat="1" applyFont="1" applyBorder="1" applyAlignment="1" applyProtection="1">
      <protection hidden="1"/>
    </xf>
    <xf numFmtId="165" fontId="22" fillId="0" borderId="1" xfId="14" applyNumberFormat="1" applyFont="1" applyFill="1" applyBorder="1" applyAlignment="1" applyProtection="1">
      <protection hidden="1"/>
    </xf>
    <xf numFmtId="0" fontId="23" fillId="0" borderId="0" xfId="0" applyFont="1" applyAlignment="1" applyProtection="1">
      <alignment horizontal="right" vertical="top"/>
      <protection locked="0"/>
    </xf>
    <xf numFmtId="165" fontId="23" fillId="0" borderId="0" xfId="14" quotePrefix="1" applyNumberFormat="1" applyFont="1" applyFill="1" applyAlignment="1" applyProtection="1">
      <alignment horizontal="right" vertical="top"/>
      <protection hidden="1"/>
    </xf>
    <xf numFmtId="165" fontId="22" fillId="0" borderId="0" xfId="14" quotePrefix="1" applyNumberFormat="1" applyFont="1" applyFill="1" applyAlignment="1" applyProtection="1">
      <alignment horizontal="right" vertical="top"/>
      <protection hidden="1"/>
    </xf>
    <xf numFmtId="165" fontId="22" fillId="0" borderId="0" xfId="14" quotePrefix="1" applyNumberFormat="1" applyFont="1" applyFill="1" applyBorder="1" applyAlignment="1" applyProtection="1">
      <alignment horizontal="right" vertical="top"/>
      <protection hidden="1"/>
    </xf>
    <xf numFmtId="0" fontId="17" fillId="16" borderId="12" xfId="0" applyFont="1" applyFill="1" applyBorder="1" applyAlignment="1" applyProtection="1">
      <alignment horizontal="center"/>
      <protection locked="0"/>
    </xf>
    <xf numFmtId="165" fontId="23" fillId="19" borderId="14" xfId="9" applyNumberFormat="1" applyFont="1" applyFill="1" applyBorder="1" applyAlignment="1" applyProtection="1">
      <alignment vertical="top" wrapText="1"/>
      <protection locked="0"/>
    </xf>
    <xf numFmtId="165" fontId="23" fillId="0" borderId="16" xfId="9" applyNumberFormat="1" applyFont="1" applyFill="1" applyBorder="1" applyAlignment="1" applyProtection="1">
      <alignment horizontal="right" vertical="top"/>
    </xf>
    <xf numFmtId="165" fontId="23" fillId="0" borderId="16" xfId="9" applyNumberFormat="1" applyFont="1" applyFill="1" applyBorder="1" applyAlignment="1" applyProtection="1">
      <alignment horizontal="right" vertical="top"/>
      <protection hidden="1"/>
    </xf>
    <xf numFmtId="0" fontId="11" fillId="2" borderId="0" xfId="19" applyFont="1" applyFill="1" applyProtection="1">
      <protection locked="0"/>
    </xf>
    <xf numFmtId="9" fontId="46" fillId="2" borderId="0" xfId="20" applyFont="1" applyFill="1" applyAlignment="1" applyProtection="1">
      <alignment horizontal="right"/>
      <protection locked="0"/>
    </xf>
    <xf numFmtId="165" fontId="46" fillId="2" borderId="0" xfId="19" applyNumberFormat="1" applyFont="1" applyFill="1" applyBorder="1" applyAlignment="1" applyProtection="1">
      <alignment horizontal="left"/>
      <protection locked="0"/>
    </xf>
    <xf numFmtId="0" fontId="53" fillId="2" borderId="0" xfId="19" applyFont="1" applyFill="1" applyBorder="1" applyAlignment="1" applyProtection="1">
      <alignment vertical="top"/>
      <protection locked="0"/>
    </xf>
    <xf numFmtId="165" fontId="11" fillId="2" borderId="0" xfId="19" applyNumberFormat="1" applyFont="1" applyFill="1" applyBorder="1" applyProtection="1">
      <protection locked="0"/>
    </xf>
    <xf numFmtId="0" fontId="48" fillId="2" borderId="0" xfId="19" applyFont="1" applyFill="1" applyBorder="1" applyAlignment="1" applyProtection="1">
      <alignment vertical="top"/>
      <protection locked="0"/>
    </xf>
    <xf numFmtId="0" fontId="46" fillId="2" borderId="0" xfId="19" applyFont="1" applyFill="1" applyBorder="1" applyAlignment="1" applyProtection="1">
      <alignment horizontal="left"/>
      <protection locked="0"/>
    </xf>
    <xf numFmtId="0" fontId="48" fillId="2" borderId="0" xfId="19" applyFont="1" applyFill="1" applyBorder="1" applyAlignment="1" applyProtection="1">
      <alignment horizontal="center"/>
      <protection locked="0"/>
    </xf>
    <xf numFmtId="43" fontId="11" fillId="2" borderId="0" xfId="19" applyNumberFormat="1" applyFont="1" applyFill="1" applyBorder="1" applyProtection="1">
      <protection locked="0"/>
    </xf>
    <xf numFmtId="165" fontId="11" fillId="2" borderId="0" xfId="19" applyNumberFormat="1" applyFont="1" applyFill="1" applyBorder="1" applyProtection="1">
      <protection hidden="1"/>
    </xf>
    <xf numFmtId="165" fontId="11" fillId="2" borderId="1" xfId="19" applyNumberFormat="1" applyFont="1" applyFill="1" applyBorder="1" applyProtection="1">
      <protection hidden="1"/>
    </xf>
    <xf numFmtId="0" fontId="48" fillId="2" borderId="0" xfId="19" applyFont="1" applyFill="1" applyBorder="1" applyAlignment="1" applyProtection="1">
      <alignment horizontal="left"/>
      <protection locked="0"/>
    </xf>
    <xf numFmtId="165" fontId="48" fillId="2" borderId="0" xfId="19" applyNumberFormat="1" applyFont="1" applyFill="1" applyBorder="1" applyProtection="1">
      <protection hidden="1"/>
    </xf>
    <xf numFmtId="0" fontId="48" fillId="2" borderId="0" xfId="19" applyFont="1" applyFill="1" applyBorder="1" applyProtection="1">
      <protection locked="0"/>
    </xf>
    <xf numFmtId="43" fontId="48" fillId="2" borderId="0" xfId="19" applyNumberFormat="1" applyFont="1" applyFill="1" applyBorder="1" applyProtection="1">
      <protection locked="0"/>
    </xf>
    <xf numFmtId="165" fontId="48" fillId="2" borderId="1" xfId="19" applyNumberFormat="1" applyFont="1" applyFill="1" applyBorder="1" applyProtection="1">
      <protection hidden="1"/>
    </xf>
    <xf numFmtId="0" fontId="53" fillId="2" borderId="0" xfId="19" applyFont="1" applyFill="1" applyBorder="1" applyAlignment="1" applyProtection="1">
      <alignment vertical="top"/>
      <protection hidden="1"/>
    </xf>
    <xf numFmtId="0" fontId="11" fillId="2" borderId="0" xfId="19" applyFont="1" applyFill="1" applyBorder="1" applyProtection="1">
      <protection hidden="1"/>
    </xf>
    <xf numFmtId="0" fontId="8" fillId="2" borderId="0" xfId="19" applyFont="1" applyFill="1" applyBorder="1" applyProtection="1">
      <protection locked="0"/>
    </xf>
    <xf numFmtId="0" fontId="65" fillId="0" borderId="4" xfId="0" applyFont="1" applyFill="1" applyBorder="1" applyAlignment="1" applyProtection="1">
      <alignment horizontal="right"/>
      <protection locked="0"/>
    </xf>
    <xf numFmtId="0" fontId="65" fillId="6" borderId="4" xfId="19" applyFont="1" applyFill="1" applyBorder="1" applyAlignment="1" applyProtection="1">
      <alignment horizontal="center"/>
      <protection locked="0"/>
    </xf>
    <xf numFmtId="0" fontId="74" fillId="0" borderId="0" xfId="19" applyFont="1" applyAlignment="1">
      <alignment horizontal="left" vertical="top"/>
    </xf>
    <xf numFmtId="0" fontId="22" fillId="0" borderId="0" xfId="0" applyFont="1" applyAlignment="1" applyProtection="1">
      <alignment horizontal="center"/>
      <protection locked="0"/>
    </xf>
    <xf numFmtId="165" fontId="23" fillId="0" borderId="5" xfId="9" applyNumberFormat="1" applyFont="1" applyBorder="1" applyAlignment="1" applyProtection="1">
      <alignment horizontal="center"/>
      <protection locked="0"/>
    </xf>
    <xf numFmtId="165" fontId="24" fillId="0" borderId="1" xfId="9" applyNumberFormat="1" applyFont="1" applyBorder="1" applyAlignment="1" applyProtection="1">
      <alignment horizontal="left"/>
      <protection locked="0"/>
    </xf>
    <xf numFmtId="165" fontId="23" fillId="0" borderId="1" xfId="9" applyNumberFormat="1" applyFont="1" applyBorder="1" applyAlignment="1" applyProtection="1">
      <alignment horizontal="center"/>
      <protection locked="0"/>
    </xf>
    <xf numFmtId="165" fontId="35" fillId="0" borderId="0" xfId="9" applyNumberFormat="1" applyFont="1" applyFill="1" applyAlignment="1" applyProtection="1">
      <alignment horizontal="left"/>
      <protection locked="0"/>
    </xf>
    <xf numFmtId="165" fontId="33" fillId="0" borderId="0" xfId="9" applyNumberFormat="1" applyFont="1" applyFill="1" applyAlignment="1" applyProtection="1">
      <alignment horizontal="left"/>
      <protection locked="0"/>
    </xf>
    <xf numFmtId="9" fontId="23" fillId="29" borderId="44" xfId="2" applyFont="1" applyFill="1" applyBorder="1" applyAlignment="1" applyProtection="1">
      <alignment horizontal="center" vertical="center"/>
      <protection hidden="1"/>
    </xf>
    <xf numFmtId="9" fontId="23" fillId="29" borderId="41" xfId="2" applyFont="1" applyFill="1" applyBorder="1" applyAlignment="1" applyProtection="1">
      <alignment horizontal="center" vertical="center"/>
      <protection hidden="1"/>
    </xf>
    <xf numFmtId="165" fontId="22" fillId="0" borderId="0" xfId="9" applyNumberFormat="1" applyFont="1" applyAlignment="1" applyProtection="1">
      <alignment horizontal="center"/>
      <protection locked="0"/>
    </xf>
    <xf numFmtId="165" fontId="22" fillId="0" borderId="0" xfId="9" applyNumberFormat="1" applyFont="1" applyFill="1" applyBorder="1" applyAlignment="1" applyProtection="1">
      <alignment horizontal="center" vertical="top"/>
      <protection locked="0"/>
    </xf>
    <xf numFmtId="165" fontId="46" fillId="5" borderId="4" xfId="9" applyNumberFormat="1" applyFont="1" applyFill="1" applyBorder="1" applyAlignment="1" applyProtection="1">
      <alignment horizontal="center" vertical="top" wrapText="1"/>
      <protection locked="0"/>
    </xf>
    <xf numFmtId="165" fontId="46" fillId="0" borderId="0" xfId="9" applyNumberFormat="1" applyFont="1" applyFill="1" applyBorder="1" applyAlignment="1" applyProtection="1">
      <alignment horizontal="center" vertical="top" wrapText="1"/>
      <protection locked="0"/>
    </xf>
    <xf numFmtId="165" fontId="46" fillId="5" borderId="6" xfId="9" applyNumberFormat="1" applyFont="1" applyFill="1" applyBorder="1" applyAlignment="1" applyProtection="1">
      <alignment horizontal="center" vertical="top" wrapText="1"/>
      <protection locked="0"/>
    </xf>
    <xf numFmtId="165" fontId="23" fillId="33" borderId="3" xfId="9" applyNumberFormat="1" applyFont="1" applyFill="1" applyBorder="1" applyAlignment="1" applyProtection="1">
      <alignment horizontal="center" vertical="center"/>
      <protection locked="0"/>
    </xf>
    <xf numFmtId="165" fontId="22" fillId="3" borderId="38" xfId="9" applyNumberFormat="1" applyFont="1" applyFill="1" applyBorder="1" applyAlignment="1" applyProtection="1">
      <alignment horizontal="center"/>
      <protection locked="0"/>
    </xf>
    <xf numFmtId="165" fontId="23" fillId="25" borderId="0" xfId="9" applyNumberFormat="1" applyFont="1" applyFill="1" applyBorder="1" applyAlignment="1" applyProtection="1">
      <alignment horizontal="center" vertical="center"/>
      <protection locked="0"/>
    </xf>
    <xf numFmtId="165" fontId="23" fillId="19" borderId="0" xfId="9" applyNumberFormat="1" applyFont="1" applyFill="1" applyBorder="1" applyAlignment="1" applyProtection="1">
      <alignment horizontal="center" vertical="center"/>
      <protection locked="0"/>
    </xf>
    <xf numFmtId="165" fontId="23" fillId="29" borderId="44" xfId="9" applyNumberFormat="1" applyFont="1" applyFill="1" applyBorder="1" applyAlignment="1" applyProtection="1">
      <alignment horizontal="center" vertical="center"/>
      <protection hidden="1"/>
    </xf>
    <xf numFmtId="165" fontId="23" fillId="0" borderId="0" xfId="9" applyNumberFormat="1" applyFont="1" applyFill="1" applyBorder="1" applyAlignment="1" applyProtection="1">
      <alignment horizontal="center" vertical="center"/>
      <protection locked="0"/>
    </xf>
    <xf numFmtId="165" fontId="23" fillId="29" borderId="41" xfId="9" applyNumberFormat="1" applyFont="1" applyFill="1" applyBorder="1" applyAlignment="1" applyProtection="1">
      <alignment horizontal="center" vertical="center"/>
      <protection hidden="1"/>
    </xf>
    <xf numFmtId="165" fontId="23" fillId="33" borderId="5" xfId="9" applyNumberFormat="1" applyFont="1" applyFill="1" applyBorder="1" applyAlignment="1" applyProtection="1">
      <alignment horizontal="center" vertical="center"/>
      <protection locked="0"/>
    </xf>
    <xf numFmtId="165" fontId="22" fillId="3" borderId="39" xfId="9" applyNumberFormat="1" applyFont="1" applyFill="1" applyBorder="1" applyAlignment="1" applyProtection="1">
      <alignment horizontal="center"/>
      <protection locked="0"/>
    </xf>
    <xf numFmtId="165" fontId="23" fillId="25" borderId="1" xfId="9" applyNumberFormat="1" applyFont="1" applyFill="1" applyBorder="1" applyAlignment="1" applyProtection="1">
      <alignment horizontal="center" vertical="center"/>
      <protection locked="0"/>
    </xf>
    <xf numFmtId="165" fontId="23" fillId="19" borderId="1" xfId="9" applyNumberFormat="1" applyFont="1" applyFill="1" applyBorder="1" applyAlignment="1" applyProtection="1">
      <alignment horizontal="center" vertical="center"/>
      <protection locked="0"/>
    </xf>
    <xf numFmtId="165" fontId="23" fillId="0" borderId="3" xfId="9" applyNumberFormat="1" applyFont="1" applyBorder="1" applyAlignment="1" applyProtection="1">
      <alignment horizontal="right"/>
      <protection locked="0"/>
    </xf>
    <xf numFmtId="165" fontId="24" fillId="0" borderId="0" xfId="9" applyNumberFormat="1" applyFont="1" applyAlignment="1" applyProtection="1">
      <alignment horizontal="left"/>
      <protection locked="0"/>
    </xf>
    <xf numFmtId="0" fontId="22" fillId="0" borderId="2" xfId="0" applyFont="1" applyFill="1" applyBorder="1" applyAlignment="1" applyProtection="1">
      <alignment vertical="top"/>
      <protection locked="0" hidden="1"/>
    </xf>
    <xf numFmtId="0" fontId="22" fillId="0" borderId="0" xfId="0" applyFont="1" applyFill="1" applyBorder="1" applyAlignment="1" applyProtection="1">
      <alignment vertical="top"/>
      <protection locked="0" hidden="1"/>
    </xf>
    <xf numFmtId="9" fontId="29" fillId="24" borderId="7" xfId="10" applyNumberFormat="1" applyFill="1" applyBorder="1" applyAlignment="1" applyProtection="1">
      <alignment horizontal="center"/>
      <protection locked="0"/>
    </xf>
    <xf numFmtId="9" fontId="29" fillId="24" borderId="9" xfId="10" applyNumberFormat="1" applyFill="1" applyBorder="1" applyAlignment="1" applyProtection="1">
      <alignment horizontal="center"/>
      <protection locked="0"/>
    </xf>
    <xf numFmtId="165" fontId="48" fillId="3" borderId="0" xfId="21" applyNumberFormat="1" applyFont="1" applyFill="1" applyBorder="1" applyAlignment="1" applyProtection="1">
      <alignment horizontal="left"/>
      <protection locked="0"/>
    </xf>
    <xf numFmtId="43" fontId="23" fillId="0" borderId="0" xfId="9" applyFont="1" applyAlignment="1" applyProtection="1">
      <alignment horizontal="left" vertical="top"/>
      <protection locked="0"/>
    </xf>
    <xf numFmtId="43" fontId="23" fillId="0" borderId="0" xfId="9" applyFont="1" applyFill="1" applyBorder="1" applyAlignment="1" applyProtection="1">
      <alignment horizontal="left" vertical="top"/>
      <protection locked="0"/>
    </xf>
    <xf numFmtId="43" fontId="23" fillId="0" borderId="0" xfId="9" applyFont="1" applyFill="1" applyAlignment="1" applyProtection="1">
      <alignment horizontal="left" vertical="top"/>
      <protection locked="0"/>
    </xf>
    <xf numFmtId="0" fontId="17" fillId="0" borderId="4" xfId="0" applyFont="1" applyBorder="1" applyAlignment="1" applyProtection="1">
      <alignment horizontal="right"/>
    </xf>
    <xf numFmtId="0" fontId="17" fillId="0" borderId="0" xfId="0" applyFont="1" applyBorder="1" applyAlignment="1" applyProtection="1">
      <alignment horizontal="right"/>
    </xf>
    <xf numFmtId="0" fontId="17" fillId="6" borderId="4" xfId="19" applyFont="1" applyFill="1" applyBorder="1" applyAlignment="1" applyProtection="1">
      <alignment horizontal="center"/>
    </xf>
    <xf numFmtId="0" fontId="23" fillId="19" borderId="0" xfId="0" applyFont="1" applyFill="1" applyAlignment="1" applyProtection="1">
      <alignment vertical="top"/>
      <protection hidden="1"/>
    </xf>
    <xf numFmtId="0" fontId="22" fillId="19" borderId="0" xfId="0" applyFont="1" applyFill="1" applyBorder="1" applyAlignment="1" applyProtection="1">
      <alignment vertical="top"/>
      <protection hidden="1"/>
    </xf>
    <xf numFmtId="0" fontId="23" fillId="19" borderId="0" xfId="0" applyFont="1" applyFill="1" applyAlignment="1" applyProtection="1">
      <alignment horizontal="center"/>
      <protection hidden="1"/>
    </xf>
    <xf numFmtId="0" fontId="23" fillId="0" borderId="0" xfId="0" applyFont="1" applyBorder="1" applyAlignment="1" applyProtection="1">
      <alignment horizontal="left" vertical="top"/>
      <protection locked="0"/>
    </xf>
    <xf numFmtId="165" fontId="23" fillId="0" borderId="0" xfId="9" applyNumberFormat="1" applyFont="1" applyBorder="1" applyAlignment="1" applyProtection="1">
      <alignment horizontal="left" vertical="top"/>
      <protection locked="0"/>
    </xf>
    <xf numFmtId="0" fontId="23" fillId="0" borderId="0" xfId="0" applyFont="1" applyBorder="1" applyAlignment="1" applyProtection="1">
      <alignment horizontal="left"/>
      <protection locked="0"/>
    </xf>
    <xf numFmtId="0" fontId="25" fillId="0" borderId="0" xfId="0" applyFont="1" applyBorder="1" applyAlignment="1" applyProtection="1">
      <alignment horizontal="left"/>
      <protection locked="0"/>
    </xf>
    <xf numFmtId="165" fontId="23" fillId="0" borderId="0" xfId="9" applyNumberFormat="1" applyFont="1" applyBorder="1" applyAlignment="1" applyProtection="1">
      <alignment horizontal="left"/>
      <protection locked="0"/>
    </xf>
    <xf numFmtId="0" fontId="25" fillId="0" borderId="0"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4" fillId="0" borderId="0" xfId="0" applyFont="1" applyAlignment="1" applyProtection="1">
      <alignment horizontal="left" vertical="top"/>
      <protection locked="0"/>
    </xf>
    <xf numFmtId="165" fontId="22" fillId="0" borderId="0" xfId="9" applyNumberFormat="1" applyFont="1" applyFill="1" applyAlignment="1" applyProtection="1">
      <alignment horizontal="left" vertical="top"/>
      <protection locked="0"/>
    </xf>
    <xf numFmtId="0" fontId="22" fillId="5" borderId="4" xfId="0" applyFont="1" applyFill="1" applyBorder="1" applyAlignment="1" applyProtection="1">
      <alignment horizontal="left" vertical="top"/>
      <protection locked="0"/>
    </xf>
    <xf numFmtId="0" fontId="23" fillId="5" borderId="4" xfId="0" applyFont="1" applyFill="1" applyBorder="1" applyAlignment="1" applyProtection="1">
      <alignment horizontal="left" vertical="top"/>
      <protection locked="0"/>
    </xf>
    <xf numFmtId="0" fontId="23" fillId="5" borderId="6" xfId="0" applyFont="1" applyFill="1" applyBorder="1" applyAlignment="1" applyProtection="1">
      <alignment horizontal="left" vertical="top"/>
      <protection locked="0"/>
    </xf>
    <xf numFmtId="0" fontId="22" fillId="3" borderId="13" xfId="0" applyFont="1" applyFill="1" applyBorder="1" applyAlignment="1" applyProtection="1">
      <alignment horizontal="left" vertical="top"/>
      <protection locked="0"/>
    </xf>
    <xf numFmtId="10" fontId="23" fillId="0" borderId="4" xfId="2" applyNumberFormat="1" applyFont="1" applyBorder="1" applyAlignment="1" applyProtection="1">
      <alignment horizontal="left" vertical="top"/>
      <protection locked="0"/>
    </xf>
    <xf numFmtId="0" fontId="22" fillId="3" borderId="36" xfId="0" applyFont="1" applyFill="1" applyBorder="1" applyAlignment="1" applyProtection="1">
      <alignment horizontal="left" vertical="top"/>
      <protection locked="0"/>
    </xf>
    <xf numFmtId="10" fontId="23" fillId="0" borderId="6" xfId="2" applyNumberFormat="1" applyFont="1" applyBorder="1" applyAlignment="1" applyProtection="1">
      <alignment horizontal="left" vertical="top"/>
      <protection locked="0"/>
    </xf>
    <xf numFmtId="165" fontId="23" fillId="0" borderId="0" xfId="0" applyNumberFormat="1" applyFont="1" applyFill="1" applyAlignment="1" applyProtection="1">
      <alignment horizontal="left" vertical="top"/>
      <protection locked="0"/>
    </xf>
    <xf numFmtId="165" fontId="23" fillId="0" borderId="0" xfId="9" applyNumberFormat="1" applyFont="1" applyAlignment="1" applyProtection="1">
      <alignment horizontal="left" vertical="top"/>
      <protection locked="0"/>
    </xf>
    <xf numFmtId="165" fontId="23" fillId="0" borderId="0" xfId="9" applyNumberFormat="1" applyFont="1" applyFill="1" applyAlignment="1" applyProtection="1">
      <alignment horizontal="left" vertical="top"/>
      <protection locked="0"/>
    </xf>
    <xf numFmtId="37" fontId="23" fillId="0" borderId="0" xfId="0" applyNumberFormat="1" applyFont="1" applyAlignment="1" applyProtection="1">
      <alignment horizontal="left" vertical="top"/>
      <protection locked="0"/>
    </xf>
    <xf numFmtId="165" fontId="33" fillId="0" borderId="0" xfId="9" applyNumberFormat="1" applyFont="1" applyFill="1" applyAlignment="1" applyProtection="1">
      <alignment horizontal="left" vertical="top"/>
      <protection locked="0"/>
    </xf>
    <xf numFmtId="165" fontId="35" fillId="0" borderId="0" xfId="9" applyNumberFormat="1" applyFont="1" applyFill="1" applyAlignment="1" applyProtection="1">
      <alignment horizontal="left" vertical="top"/>
      <protection locked="0"/>
    </xf>
    <xf numFmtId="165" fontId="24" fillId="0" borderId="0" xfId="9" applyNumberFormat="1" applyFont="1" applyAlignment="1" applyProtection="1">
      <alignment horizontal="left" vertical="top"/>
      <protection locked="0"/>
    </xf>
    <xf numFmtId="165" fontId="22" fillId="0" borderId="0" xfId="9" applyNumberFormat="1" applyFont="1" applyAlignment="1" applyProtection="1">
      <alignment horizontal="left" vertical="top"/>
      <protection locked="0"/>
    </xf>
    <xf numFmtId="165" fontId="22" fillId="5" borderId="4" xfId="9" applyNumberFormat="1" applyFont="1" applyFill="1" applyBorder="1" applyAlignment="1" applyProtection="1">
      <alignment horizontal="left" vertical="top"/>
      <protection locked="0"/>
    </xf>
    <xf numFmtId="165" fontId="23" fillId="5" borderId="4" xfId="9" applyNumberFormat="1" applyFont="1" applyFill="1" applyBorder="1" applyAlignment="1" applyProtection="1">
      <alignment horizontal="left" vertical="top"/>
      <protection locked="0"/>
    </xf>
    <xf numFmtId="165" fontId="23" fillId="5" borderId="6" xfId="9" applyNumberFormat="1" applyFont="1" applyFill="1" applyBorder="1" applyAlignment="1" applyProtection="1">
      <alignment horizontal="left" vertical="top"/>
      <protection locked="0"/>
    </xf>
    <xf numFmtId="165" fontId="22" fillId="3" borderId="13" xfId="9" applyNumberFormat="1" applyFont="1" applyFill="1" applyBorder="1" applyAlignment="1" applyProtection="1">
      <alignment horizontal="left" vertical="top"/>
      <protection locked="0"/>
    </xf>
    <xf numFmtId="165" fontId="22" fillId="3" borderId="36" xfId="9" applyNumberFormat="1" applyFont="1" applyFill="1" applyBorder="1" applyAlignment="1" applyProtection="1">
      <alignment horizontal="left" vertical="top"/>
      <protection locked="0"/>
    </xf>
    <xf numFmtId="0" fontId="23" fillId="0" borderId="0" xfId="0" applyFont="1" applyBorder="1" applyAlignment="1" applyProtection="1">
      <alignment horizontal="left" vertical="top"/>
      <protection locked="0"/>
    </xf>
    <xf numFmtId="0" fontId="23" fillId="0" borderId="3" xfId="0" applyFont="1" applyBorder="1" applyAlignment="1" applyProtection="1">
      <alignment horizontal="left" vertical="top"/>
      <protection locked="0"/>
    </xf>
    <xf numFmtId="6" fontId="7" fillId="5" borderId="5" xfId="0" quotePrefix="1" applyNumberFormat="1" applyFont="1" applyFill="1" applyBorder="1" applyAlignment="1" applyProtection="1">
      <alignment horizontal="left" vertical="top"/>
      <protection locked="0"/>
    </xf>
    <xf numFmtId="0" fontId="47" fillId="0" borderId="0" xfId="0" applyFont="1"/>
    <xf numFmtId="0" fontId="23" fillId="6" borderId="0" xfId="0" applyFont="1" applyFill="1" applyAlignment="1" applyProtection="1">
      <alignment vertical="top"/>
    </xf>
    <xf numFmtId="0" fontId="25" fillId="6" borderId="0" xfId="0" applyFont="1" applyFill="1" applyAlignment="1" applyProtection="1">
      <alignment horizontal="right"/>
    </xf>
    <xf numFmtId="10" fontId="23" fillId="7" borderId="13" xfId="2" applyNumberFormat="1" applyFont="1" applyFill="1" applyBorder="1" applyAlignment="1" applyProtection="1">
      <alignment horizontal="right" vertical="top"/>
      <protection locked="0"/>
    </xf>
    <xf numFmtId="169" fontId="23" fillId="14" borderId="13" xfId="2" applyNumberFormat="1" applyFont="1" applyFill="1" applyBorder="1" applyAlignment="1" applyProtection="1">
      <alignment horizontal="right"/>
      <protection locked="0"/>
    </xf>
    <xf numFmtId="43" fontId="23" fillId="0" borderId="0" xfId="9" applyNumberFormat="1" applyFont="1" applyBorder="1" applyAlignment="1" applyProtection="1">
      <alignment horizontal="right" vertical="top"/>
      <protection locked="0"/>
    </xf>
    <xf numFmtId="0" fontId="23" fillId="6" borderId="0" xfId="0" applyFont="1" applyFill="1" applyBorder="1" applyAlignment="1" applyProtection="1">
      <alignment horizontal="left" vertical="top"/>
    </xf>
    <xf numFmtId="0" fontId="75" fillId="23" borderId="22" xfId="0" applyFont="1" applyFill="1" applyBorder="1" applyAlignment="1" applyProtection="1">
      <alignment horizontal="left" vertical="top"/>
      <protection locked="0"/>
    </xf>
    <xf numFmtId="0" fontId="17" fillId="23" borderId="17" xfId="0" applyFont="1" applyFill="1" applyBorder="1" applyAlignment="1" applyProtection="1">
      <alignment horizontal="right" vertical="top"/>
      <protection locked="0"/>
    </xf>
    <xf numFmtId="165" fontId="17" fillId="23" borderId="17" xfId="9" applyNumberFormat="1" applyFont="1" applyFill="1" applyBorder="1" applyAlignment="1" applyProtection="1">
      <alignment horizontal="right" vertical="top"/>
      <protection locked="0"/>
    </xf>
    <xf numFmtId="0" fontId="17" fillId="0" borderId="0" xfId="0" applyFont="1" applyFill="1" applyBorder="1" applyAlignment="1" applyProtection="1">
      <alignment horizontal="right" vertical="top"/>
      <protection locked="0"/>
    </xf>
    <xf numFmtId="165" fontId="17" fillId="0" borderId="0" xfId="9" applyNumberFormat="1" applyFont="1" applyFill="1" applyBorder="1" applyAlignment="1" applyProtection="1">
      <alignment horizontal="right" vertical="top"/>
      <protection locked="0"/>
    </xf>
    <xf numFmtId="165" fontId="17" fillId="0" borderId="24" xfId="14" applyNumberFormat="1" applyFont="1" applyBorder="1" applyAlignment="1" applyProtection="1">
      <alignment horizontal="center"/>
      <protection hidden="1"/>
    </xf>
    <xf numFmtId="166" fontId="17" fillId="7" borderId="13" xfId="2" applyNumberFormat="1" applyFont="1" applyFill="1" applyBorder="1" applyAlignment="1" applyProtection="1">
      <alignment horizontal="right"/>
      <protection locked="0"/>
    </xf>
    <xf numFmtId="0" fontId="77" fillId="0" borderId="0" xfId="12" applyFont="1" applyBorder="1" applyAlignment="1" applyProtection="1">
      <alignment horizontal="right"/>
      <protection locked="0"/>
    </xf>
    <xf numFmtId="10" fontId="17" fillId="0" borderId="0" xfId="2" applyNumberFormat="1" applyFont="1" applyBorder="1" applyAlignment="1" applyProtection="1">
      <alignment horizontal="left"/>
      <protection locked="0"/>
    </xf>
    <xf numFmtId="0" fontId="17" fillId="0" borderId="24" xfId="0" applyFont="1" applyBorder="1" applyAlignment="1" applyProtection="1">
      <alignment horizontal="center"/>
      <protection hidden="1"/>
    </xf>
    <xf numFmtId="0" fontId="17" fillId="0" borderId="0" xfId="0" applyFont="1" applyBorder="1" applyAlignment="1" applyProtection="1">
      <alignment horizontal="right" vertical="top"/>
      <protection locked="0"/>
    </xf>
    <xf numFmtId="165" fontId="17" fillId="0" borderId="0" xfId="9" applyNumberFormat="1" applyFont="1" applyBorder="1" applyAlignment="1" applyProtection="1">
      <alignment horizontal="right" vertical="top"/>
      <protection locked="0"/>
    </xf>
    <xf numFmtId="165" fontId="17" fillId="0" borderId="24" xfId="9" applyNumberFormat="1" applyFont="1" applyBorder="1" applyProtection="1">
      <protection hidden="1"/>
    </xf>
    <xf numFmtId="0" fontId="17" fillId="0" borderId="0" xfId="0" applyFont="1" applyBorder="1" applyAlignment="1" applyProtection="1">
      <alignment horizontal="right" vertical="top"/>
      <protection hidden="1"/>
    </xf>
    <xf numFmtId="165" fontId="17" fillId="11" borderId="0" xfId="9" applyNumberFormat="1" applyFont="1" applyFill="1" applyBorder="1" applyAlignment="1" applyProtection="1">
      <alignment horizontal="right" vertical="top"/>
      <protection hidden="1"/>
    </xf>
    <xf numFmtId="0" fontId="75" fillId="23" borderId="10" xfId="0" applyFont="1" applyFill="1" applyBorder="1" applyAlignment="1" applyProtection="1">
      <alignment horizontal="left" vertical="top"/>
      <protection locked="0"/>
    </xf>
    <xf numFmtId="0" fontId="17" fillId="23" borderId="2" xfId="0" applyFont="1" applyFill="1" applyBorder="1" applyAlignment="1" applyProtection="1">
      <alignment horizontal="right" vertical="top"/>
      <protection locked="0"/>
    </xf>
    <xf numFmtId="165" fontId="17" fillId="23" borderId="2" xfId="9" applyNumberFormat="1" applyFont="1" applyFill="1" applyBorder="1" applyAlignment="1" applyProtection="1">
      <alignment horizontal="right" vertical="top"/>
      <protection locked="0"/>
    </xf>
    <xf numFmtId="165" fontId="76" fillId="23" borderId="11" xfId="9" applyNumberFormat="1" applyFont="1" applyFill="1" applyBorder="1" applyAlignment="1" applyProtection="1">
      <alignment horizontal="right"/>
      <protection locked="0"/>
    </xf>
    <xf numFmtId="0" fontId="17" fillId="0" borderId="3" xfId="12" applyFont="1" applyBorder="1" applyAlignment="1" applyProtection="1">
      <alignment horizontal="left"/>
      <protection locked="0"/>
    </xf>
    <xf numFmtId="165" fontId="17" fillId="0" borderId="4" xfId="14" applyNumberFormat="1" applyFont="1" applyBorder="1" applyAlignment="1" applyProtection="1">
      <alignment horizontal="center"/>
      <protection hidden="1"/>
    </xf>
    <xf numFmtId="0" fontId="17" fillId="0" borderId="3" xfId="0" applyFont="1" applyBorder="1" applyAlignment="1" applyProtection="1">
      <alignment horizontal="left" vertical="top"/>
      <protection locked="0"/>
    </xf>
    <xf numFmtId="166" fontId="17" fillId="7" borderId="15" xfId="2" applyNumberFormat="1" applyFont="1" applyFill="1" applyBorder="1" applyAlignment="1" applyProtection="1">
      <alignment horizontal="right"/>
      <protection locked="0"/>
    </xf>
    <xf numFmtId="0" fontId="17" fillId="0" borderId="3" xfId="0" applyFont="1" applyBorder="1" applyAlignment="1" applyProtection="1">
      <alignment horizontal="left"/>
      <protection locked="0"/>
    </xf>
    <xf numFmtId="0" fontId="17" fillId="0" borderId="4" xfId="0" applyFont="1" applyBorder="1" applyAlignment="1" applyProtection="1">
      <alignment horizontal="center"/>
      <protection hidden="1"/>
    </xf>
    <xf numFmtId="165" fontId="17" fillId="0" borderId="4" xfId="9" applyNumberFormat="1" applyFont="1" applyBorder="1" applyProtection="1">
      <protection hidden="1"/>
    </xf>
    <xf numFmtId="0" fontId="17" fillId="0" borderId="4" xfId="0" applyFont="1" applyBorder="1" applyAlignment="1" applyProtection="1">
      <alignment horizontal="center"/>
      <protection locked="0"/>
    </xf>
    <xf numFmtId="0" fontId="17" fillId="0" borderId="0" xfId="0" quotePrefix="1" applyFont="1" applyBorder="1" applyAlignment="1" applyProtection="1">
      <alignment horizontal="right"/>
      <protection hidden="1"/>
    </xf>
    <xf numFmtId="10" fontId="17" fillId="13" borderId="0" xfId="0" applyNumberFormat="1" applyFont="1" applyFill="1" applyBorder="1" applyAlignment="1" applyProtection="1">
      <alignment horizontal="center"/>
      <protection hidden="1"/>
    </xf>
    <xf numFmtId="0" fontId="17" fillId="0" borderId="0" xfId="0" applyFont="1" applyBorder="1" applyAlignment="1" applyProtection="1">
      <alignment horizontal="center"/>
      <protection locked="0"/>
    </xf>
    <xf numFmtId="166" fontId="17" fillId="0" borderId="4" xfId="2" applyNumberFormat="1" applyFont="1" applyBorder="1" applyAlignment="1" applyProtection="1">
      <alignment horizontal="center"/>
      <protection locked="0"/>
    </xf>
    <xf numFmtId="0" fontId="75" fillId="0" borderId="5" xfId="0" applyFont="1" applyBorder="1" applyAlignment="1" applyProtection="1">
      <alignment horizontal="left" vertical="top"/>
      <protection locked="0"/>
    </xf>
    <xf numFmtId="0" fontId="17" fillId="0" borderId="1" xfId="0" applyFont="1" applyBorder="1" applyAlignment="1" applyProtection="1">
      <alignment horizontal="right" vertical="top"/>
      <protection locked="0"/>
    </xf>
    <xf numFmtId="165" fontId="17" fillId="0" borderId="1" xfId="9" applyNumberFormat="1" applyFont="1" applyBorder="1" applyAlignment="1" applyProtection="1">
      <alignment horizontal="right" vertical="top"/>
      <protection locked="0"/>
    </xf>
    <xf numFmtId="165" fontId="75" fillId="0" borderId="52" xfId="9" applyNumberFormat="1" applyFont="1" applyBorder="1" applyAlignment="1" applyProtection="1">
      <alignment horizontal="right" vertical="top"/>
      <protection hidden="1"/>
    </xf>
    <xf numFmtId="17" fontId="17" fillId="0" borderId="4" xfId="0" quotePrefix="1" applyNumberFormat="1" applyFont="1" applyBorder="1" applyAlignment="1" applyProtection="1">
      <alignment horizontal="right"/>
    </xf>
    <xf numFmtId="0" fontId="23" fillId="23" borderId="2" xfId="0" applyFont="1" applyFill="1" applyBorder="1" applyAlignment="1" applyProtection="1">
      <alignment horizontal="right" vertical="top"/>
      <protection locked="0"/>
    </xf>
    <xf numFmtId="165" fontId="23" fillId="23" borderId="2" xfId="9" applyNumberFormat="1" applyFont="1" applyFill="1" applyBorder="1" applyAlignment="1" applyProtection="1">
      <alignment horizontal="right" vertical="top"/>
      <protection locked="0"/>
    </xf>
    <xf numFmtId="165" fontId="35" fillId="23" borderId="11" xfId="9" applyNumberFormat="1" applyFont="1" applyFill="1" applyBorder="1" applyAlignment="1" applyProtection="1">
      <alignment horizontal="right"/>
      <protection locked="0"/>
    </xf>
    <xf numFmtId="165" fontId="23" fillId="0" borderId="4" xfId="14" applyNumberFormat="1" applyFont="1" applyBorder="1" applyAlignment="1" applyProtection="1">
      <alignment horizontal="center"/>
      <protection hidden="1"/>
    </xf>
    <xf numFmtId="166" fontId="23" fillId="7" borderId="15" xfId="2" applyNumberFormat="1" applyFont="1" applyFill="1" applyBorder="1" applyAlignment="1" applyProtection="1">
      <alignment horizontal="right"/>
      <protection locked="0"/>
    </xf>
    <xf numFmtId="0" fontId="23" fillId="0" borderId="4" xfId="0" applyFont="1" applyBorder="1" applyAlignment="1" applyProtection="1">
      <alignment horizontal="center"/>
      <protection locked="0"/>
    </xf>
    <xf numFmtId="0" fontId="17" fillId="0" borderId="5" xfId="12" applyFont="1" applyBorder="1" applyAlignment="1" applyProtection="1">
      <alignment horizontal="left"/>
      <protection locked="0"/>
    </xf>
    <xf numFmtId="0" fontId="23" fillId="0" borderId="1" xfId="0" applyFont="1" applyBorder="1" applyAlignment="1" applyProtection="1">
      <alignment horizontal="right" vertical="top"/>
      <protection locked="0"/>
    </xf>
    <xf numFmtId="165" fontId="23" fillId="0" borderId="6" xfId="9" applyNumberFormat="1" applyFont="1" applyBorder="1" applyProtection="1">
      <protection hidden="1"/>
    </xf>
    <xf numFmtId="0" fontId="23" fillId="0" borderId="0" xfId="0" applyFont="1" applyBorder="1" applyAlignment="1" applyProtection="1">
      <alignment horizontal="left" vertical="top"/>
      <protection locked="0"/>
    </xf>
    <xf numFmtId="0" fontId="22" fillId="3" borderId="0" xfId="0" applyFont="1" applyFill="1" applyAlignment="1" applyProtection="1">
      <alignment horizontal="left"/>
    </xf>
    <xf numFmtId="0" fontId="60" fillId="3" borderId="0" xfId="0" applyFont="1" applyFill="1" applyBorder="1" applyAlignment="1" applyProtection="1">
      <alignment horizontal="left"/>
    </xf>
    <xf numFmtId="0" fontId="24" fillId="17" borderId="0" xfId="0" applyFont="1" applyFill="1" applyAlignment="1" applyProtection="1">
      <alignment horizontal="left" vertical="top"/>
    </xf>
    <xf numFmtId="0" fontId="23" fillId="17" borderId="0" xfId="0" applyFont="1" applyFill="1" applyAlignment="1" applyProtection="1">
      <alignment horizontal="left"/>
    </xf>
    <xf numFmtId="0" fontId="23" fillId="5" borderId="0" xfId="0" applyFont="1" applyFill="1" applyBorder="1" applyAlignment="1" applyProtection="1">
      <alignment horizontal="left" vertical="top"/>
    </xf>
    <xf numFmtId="0" fontId="23" fillId="5" borderId="0" xfId="0" applyFont="1" applyFill="1" applyBorder="1" applyAlignment="1" applyProtection="1">
      <alignment horizontal="left"/>
    </xf>
    <xf numFmtId="0" fontId="23" fillId="5" borderId="0" xfId="0" applyFont="1" applyFill="1" applyAlignment="1" applyProtection="1">
      <alignment vertical="top"/>
    </xf>
    <xf numFmtId="0" fontId="17" fillId="3" borderId="4" xfId="0" applyFont="1" applyFill="1" applyBorder="1" applyAlignment="1" applyProtection="1">
      <alignment horizontal="right"/>
    </xf>
    <xf numFmtId="0" fontId="23" fillId="17" borderId="0" xfId="0" applyFont="1" applyFill="1" applyAlignment="1" applyProtection="1">
      <alignment horizontal="center"/>
    </xf>
    <xf numFmtId="0" fontId="22" fillId="6" borderId="0" xfId="0" applyFont="1" applyFill="1" applyAlignment="1" applyProtection="1">
      <alignment horizontal="center"/>
    </xf>
    <xf numFmtId="0" fontId="24" fillId="5" borderId="0" xfId="0" applyFont="1" applyFill="1" applyBorder="1" applyAlignment="1" applyProtection="1">
      <alignment horizontal="left"/>
      <protection locked="0"/>
    </xf>
    <xf numFmtId="0" fontId="23" fillId="5" borderId="0" xfId="0" applyFont="1" applyFill="1" applyBorder="1" applyAlignment="1" applyProtection="1">
      <alignment horizontal="center"/>
      <protection locked="0"/>
    </xf>
    <xf numFmtId="0" fontId="4" fillId="5" borderId="3" xfId="19" applyFont="1" applyFill="1" applyBorder="1" applyProtection="1">
      <protection locked="0"/>
    </xf>
    <xf numFmtId="0" fontId="22" fillId="0" borderId="0" xfId="0" applyFont="1" applyAlignment="1">
      <alignment horizontal="center"/>
    </xf>
    <xf numFmtId="0" fontId="22" fillId="0" borderId="0" xfId="0" applyFont="1" applyAlignment="1" applyProtection="1">
      <alignment horizontal="center"/>
      <protection locked="0"/>
    </xf>
    <xf numFmtId="165" fontId="23" fillId="0" borderId="1" xfId="9" applyNumberFormat="1" applyFont="1" applyFill="1" applyBorder="1" applyAlignment="1" applyProtection="1">
      <alignment horizontal="right" vertical="top"/>
      <protection locked="0"/>
    </xf>
    <xf numFmtId="0" fontId="23" fillId="0" borderId="1" xfId="0" applyFont="1" applyBorder="1" applyAlignment="1" applyProtection="1">
      <alignment vertical="top"/>
      <protection locked="0"/>
    </xf>
    <xf numFmtId="165" fontId="23" fillId="0" borderId="53" xfId="0" applyNumberFormat="1" applyFont="1" applyBorder="1" applyAlignment="1" applyProtection="1">
      <alignment vertical="top"/>
      <protection locked="0"/>
    </xf>
    <xf numFmtId="0" fontId="23" fillId="0" borderId="1" xfId="0" applyFont="1" applyBorder="1" applyAlignment="1" applyProtection="1">
      <alignment horizontal="right" vertical="center"/>
      <protection locked="0"/>
    </xf>
    <xf numFmtId="165" fontId="22" fillId="0" borderId="46" xfId="9" applyNumberFormat="1" applyFont="1" applyBorder="1" applyAlignment="1" applyProtection="1">
      <alignment horizontal="right" vertical="top"/>
      <protection hidden="1"/>
    </xf>
    <xf numFmtId="165" fontId="22" fillId="0" borderId="46" xfId="9" applyNumberFormat="1" applyFont="1" applyBorder="1" applyAlignment="1" applyProtection="1">
      <alignment horizontal="right" vertical="top"/>
      <protection locked="0"/>
    </xf>
    <xf numFmtId="165" fontId="22" fillId="0" borderId="54" xfId="9" applyNumberFormat="1" applyFont="1" applyBorder="1" applyAlignment="1" applyProtection="1">
      <alignment horizontal="right" vertical="top"/>
      <protection hidden="1"/>
    </xf>
    <xf numFmtId="0" fontId="23" fillId="0" borderId="53" xfId="0" applyFont="1" applyBorder="1" applyAlignment="1" applyProtection="1">
      <alignment vertical="top"/>
      <protection locked="0"/>
    </xf>
    <xf numFmtId="165" fontId="23" fillId="0" borderId="53" xfId="9" applyNumberFormat="1" applyFont="1" applyBorder="1" applyAlignment="1" applyProtection="1">
      <alignment horizontal="right" vertical="top"/>
      <protection locked="0"/>
    </xf>
    <xf numFmtId="0" fontId="23" fillId="0" borderId="18" xfId="0" applyFont="1" applyBorder="1" applyAlignment="1" applyProtection="1">
      <alignment vertical="top"/>
      <protection locked="0"/>
    </xf>
    <xf numFmtId="165" fontId="22" fillId="0" borderId="1" xfId="9" applyNumberFormat="1" applyFont="1" applyBorder="1" applyAlignment="1" applyProtection="1">
      <alignment horizontal="right" vertical="top"/>
      <protection hidden="1"/>
    </xf>
    <xf numFmtId="0" fontId="23" fillId="0" borderId="0" xfId="0" applyFont="1" applyBorder="1" applyAlignment="1" applyProtection="1">
      <alignment horizontal="left" vertical="top"/>
    </xf>
    <xf numFmtId="0" fontId="23" fillId="0" borderId="55" xfId="0" applyFont="1" applyBorder="1" applyAlignment="1" applyProtection="1">
      <alignment vertical="top"/>
      <protection locked="0"/>
    </xf>
    <xf numFmtId="165" fontId="23" fillId="0" borderId="56" xfId="9" applyNumberFormat="1" applyFont="1" applyBorder="1" applyAlignment="1" applyProtection="1">
      <alignment horizontal="right" vertical="top"/>
      <protection locked="0"/>
    </xf>
    <xf numFmtId="0" fontId="63" fillId="18" borderId="0" xfId="0" applyFont="1" applyFill="1" applyAlignment="1" applyProtection="1">
      <alignment horizontal="left"/>
    </xf>
    <xf numFmtId="165" fontId="22" fillId="0" borderId="53" xfId="9" applyNumberFormat="1" applyFont="1" applyBorder="1" applyAlignment="1" applyProtection="1">
      <alignment horizontal="right" vertical="top"/>
      <protection hidden="1"/>
    </xf>
    <xf numFmtId="165" fontId="23" fillId="0" borderId="56" xfId="9" applyNumberFormat="1" applyFont="1" applyBorder="1" applyAlignment="1" applyProtection="1">
      <alignment horizontal="right" vertical="top"/>
    </xf>
    <xf numFmtId="0" fontId="37" fillId="5" borderId="25" xfId="0" applyFont="1" applyFill="1" applyBorder="1" applyAlignment="1" applyProtection="1">
      <alignment horizontal="left"/>
    </xf>
    <xf numFmtId="0" fontId="37" fillId="5" borderId="16" xfId="0" applyFont="1" applyFill="1" applyBorder="1" applyAlignment="1" applyProtection="1">
      <alignment horizontal="left"/>
    </xf>
    <xf numFmtId="166" fontId="37" fillId="5" borderId="57" xfId="2" applyNumberFormat="1" applyFont="1" applyFill="1" applyBorder="1" applyAlignment="1" applyProtection="1">
      <alignment horizontal="center"/>
      <protection hidden="1"/>
    </xf>
    <xf numFmtId="0" fontId="37" fillId="5" borderId="22" xfId="0" applyFont="1" applyFill="1" applyBorder="1" applyAlignment="1" applyProtection="1">
      <alignment horizontal="left"/>
    </xf>
    <xf numFmtId="0" fontId="37" fillId="5" borderId="17" xfId="0" applyFont="1" applyFill="1" applyBorder="1" applyAlignment="1" applyProtection="1">
      <alignment horizontal="left"/>
    </xf>
    <xf numFmtId="166" fontId="37" fillId="5" borderId="23" xfId="2" applyNumberFormat="1" applyFont="1" applyFill="1" applyBorder="1" applyAlignment="1" applyProtection="1">
      <alignment horizontal="center"/>
      <protection hidden="1"/>
    </xf>
    <xf numFmtId="0" fontId="37" fillId="5" borderId="22" xfId="0" applyFont="1" applyFill="1" applyBorder="1" applyAlignment="1" applyProtection="1">
      <alignment horizontal="left"/>
      <protection hidden="1"/>
    </xf>
    <xf numFmtId="0" fontId="37" fillId="5" borderId="17" xfId="0" applyFont="1" applyFill="1" applyBorder="1" applyAlignment="1" applyProtection="1">
      <alignment horizontal="left"/>
      <protection hidden="1"/>
    </xf>
    <xf numFmtId="0" fontId="37" fillId="5" borderId="25" xfId="0" applyFont="1" applyFill="1" applyBorder="1" applyAlignment="1" applyProtection="1">
      <alignment horizontal="left"/>
      <protection hidden="1"/>
    </xf>
    <xf numFmtId="0" fontId="37" fillId="5" borderId="16" xfId="0" applyFont="1" applyFill="1" applyBorder="1" applyAlignment="1" applyProtection="1">
      <alignment horizontal="left"/>
      <protection hidden="1"/>
    </xf>
    <xf numFmtId="0" fontId="22" fillId="0" borderId="0" xfId="0" applyFont="1" applyBorder="1" applyAlignment="1" applyProtection="1">
      <alignment horizontal="left" vertical="top"/>
    </xf>
    <xf numFmtId="0" fontId="22" fillId="0" borderId="0" xfId="0" applyFont="1" applyFill="1" applyBorder="1" applyAlignment="1" applyProtection="1">
      <alignment horizontal="center" vertical="center" wrapText="1"/>
    </xf>
    <xf numFmtId="0" fontId="22" fillId="2" borderId="4" xfId="0" applyFont="1" applyFill="1" applyBorder="1" applyAlignment="1" applyProtection="1">
      <alignment horizontal="left" vertical="top"/>
      <protection locked="0"/>
    </xf>
    <xf numFmtId="0" fontId="22" fillId="27" borderId="0" xfId="0" applyFont="1" applyFill="1" applyBorder="1" applyAlignment="1" applyProtection="1">
      <alignment horizontal="center"/>
      <protection locked="0"/>
    </xf>
    <xf numFmtId="0" fontId="27"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protection locked="0"/>
    </xf>
    <xf numFmtId="0" fontId="23" fillId="0" borderId="1" xfId="0" applyFont="1" applyBorder="1" applyAlignment="1" applyProtection="1">
      <alignment horizontal="left" vertical="top"/>
    </xf>
    <xf numFmtId="0" fontId="22" fillId="0" borderId="0" xfId="0" applyFont="1" applyFill="1" applyBorder="1" applyAlignment="1" applyProtection="1">
      <alignment horizontal="left" vertical="top"/>
    </xf>
    <xf numFmtId="0" fontId="23" fillId="0" borderId="20" xfId="0" applyFont="1" applyBorder="1" applyAlignment="1" applyProtection="1">
      <alignment horizontal="left" vertical="top"/>
    </xf>
    <xf numFmtId="0" fontId="23" fillId="0" borderId="18" xfId="0" applyFont="1" applyBorder="1" applyAlignment="1" applyProtection="1">
      <alignment vertical="top"/>
    </xf>
    <xf numFmtId="0" fontId="23" fillId="0" borderId="17" xfId="0" applyFont="1" applyFill="1" applyBorder="1" applyAlignment="1" applyProtection="1">
      <alignment horizontal="right" vertical="top" wrapText="1"/>
    </xf>
    <xf numFmtId="0" fontId="23" fillId="0" borderId="17" xfId="0" applyFont="1" applyFill="1" applyBorder="1" applyAlignment="1" applyProtection="1">
      <alignment horizontal="left"/>
    </xf>
    <xf numFmtId="0" fontId="23" fillId="0" borderId="16" xfId="0" applyFont="1" applyFill="1" applyBorder="1" applyAlignment="1" applyProtection="1">
      <alignment horizontal="left" vertical="top"/>
    </xf>
    <xf numFmtId="0" fontId="44" fillId="5" borderId="4" xfId="0" applyFont="1" applyFill="1" applyBorder="1" applyAlignment="1" applyProtection="1">
      <alignment horizontal="center" vertical="center"/>
    </xf>
    <xf numFmtId="0" fontId="23" fillId="0" borderId="0" xfId="0" applyFont="1" applyFill="1" applyBorder="1" applyAlignment="1" applyProtection="1">
      <alignment horizontal="left" vertical="center"/>
    </xf>
    <xf numFmtId="0" fontId="22" fillId="0" borderId="1" xfId="0" applyFont="1" applyBorder="1" applyAlignment="1" applyProtection="1">
      <alignment horizontal="left" vertical="top"/>
    </xf>
    <xf numFmtId="0" fontId="79" fillId="0" borderId="0" xfId="0" applyFont="1" applyAlignment="1" applyProtection="1">
      <alignment horizontal="left" vertical="center" wrapText="1"/>
    </xf>
    <xf numFmtId="0" fontId="23" fillId="23" borderId="20" xfId="0" applyFont="1" applyFill="1" applyBorder="1" applyAlignment="1" applyProtection="1">
      <alignment horizontal="right"/>
    </xf>
    <xf numFmtId="165" fontId="23" fillId="23" borderId="28" xfId="9" applyNumberFormat="1" applyFont="1" applyFill="1" applyBorder="1" applyAlignment="1" applyProtection="1">
      <alignment horizontal="right" vertical="top"/>
    </xf>
    <xf numFmtId="0" fontId="24" fillId="23" borderId="28" xfId="0" applyFont="1" applyFill="1" applyBorder="1" applyAlignment="1" applyProtection="1">
      <alignment horizontal="left" vertical="top"/>
    </xf>
    <xf numFmtId="0" fontId="22" fillId="0" borderId="1" xfId="0" applyFont="1" applyBorder="1" applyAlignment="1" applyProtection="1">
      <alignment vertical="center"/>
    </xf>
    <xf numFmtId="0" fontId="22" fillId="0" borderId="1" xfId="0" applyFont="1" applyBorder="1" applyAlignment="1" applyProtection="1">
      <alignment horizontal="left" vertical="center"/>
    </xf>
    <xf numFmtId="0" fontId="27" fillId="0" borderId="0" xfId="0" applyFont="1" applyBorder="1" applyAlignment="1" applyProtection="1">
      <alignment horizontal="left" vertical="top"/>
    </xf>
    <xf numFmtId="0" fontId="22" fillId="0" borderId="18" xfId="0" applyFont="1" applyBorder="1" applyAlignment="1" applyProtection="1">
      <alignment vertical="top"/>
    </xf>
    <xf numFmtId="0" fontId="25" fillId="0" borderId="17" xfId="0" applyFont="1" applyFill="1" applyBorder="1" applyAlignment="1" applyProtection="1">
      <alignment horizontal="left"/>
    </xf>
    <xf numFmtId="0" fontId="44" fillId="5" borderId="26" xfId="0" applyFont="1" applyFill="1" applyBorder="1" applyAlignment="1" applyProtection="1">
      <alignment horizontal="center"/>
    </xf>
    <xf numFmtId="0" fontId="44" fillId="5" borderId="4" xfId="0" applyFont="1" applyFill="1" applyBorder="1" applyAlignment="1" applyProtection="1">
      <alignment horizontal="center" vertical="top"/>
    </xf>
    <xf numFmtId="165" fontId="30" fillId="23" borderId="19" xfId="9" applyNumberFormat="1" applyFont="1" applyFill="1" applyBorder="1" applyAlignment="1" applyProtection="1">
      <alignment horizontal="right" vertical="top"/>
    </xf>
    <xf numFmtId="165" fontId="28" fillId="0" borderId="0" xfId="9" applyNumberFormat="1" applyFont="1" applyBorder="1" applyAlignment="1" applyProtection="1">
      <alignment horizontal="right" vertical="top" wrapText="1"/>
    </xf>
    <xf numFmtId="0" fontId="22" fillId="0" borderId="1" xfId="0" applyFont="1" applyBorder="1" applyAlignment="1" applyProtection="1">
      <alignment vertical="top"/>
    </xf>
    <xf numFmtId="0" fontId="22" fillId="0" borderId="1" xfId="0" applyFont="1" applyBorder="1" applyAlignment="1" applyProtection="1">
      <alignment horizontal="center" vertical="center"/>
    </xf>
    <xf numFmtId="0" fontId="22" fillId="0" borderId="1" xfId="0" applyFont="1" applyBorder="1" applyAlignment="1" applyProtection="1">
      <alignment horizontal="center" vertical="center" wrapText="1"/>
    </xf>
    <xf numFmtId="0" fontId="46" fillId="5" borderId="4" xfId="0" applyFont="1" applyFill="1" applyBorder="1" applyAlignment="1" applyProtection="1">
      <alignment horizontal="center" vertical="top" wrapText="1"/>
    </xf>
    <xf numFmtId="0" fontId="46" fillId="5" borderId="6" xfId="0" applyFont="1" applyFill="1" applyBorder="1" applyAlignment="1" applyProtection="1">
      <alignment horizontal="center" vertical="top" wrapText="1"/>
    </xf>
    <xf numFmtId="0" fontId="22" fillId="0" borderId="1" xfId="0" applyFont="1" applyBorder="1" applyAlignment="1" applyProtection="1">
      <alignment horizontal="left" vertical="top"/>
    </xf>
    <xf numFmtId="0" fontId="24" fillId="5" borderId="0" xfId="0" applyFont="1" applyFill="1" applyAlignment="1" applyProtection="1">
      <alignment horizontal="left"/>
      <protection locked="0"/>
    </xf>
    <xf numFmtId="1" fontId="23" fillId="5" borderId="0" xfId="0" applyNumberFormat="1" applyFont="1" applyFill="1" applyBorder="1" applyAlignment="1" applyProtection="1">
      <alignment horizontal="right"/>
      <protection locked="0"/>
    </xf>
    <xf numFmtId="0" fontId="23" fillId="6" borderId="1" xfId="0" applyFont="1" applyFill="1" applyBorder="1" applyAlignment="1" applyProtection="1">
      <alignment horizontal="center"/>
    </xf>
    <xf numFmtId="0" fontId="25" fillId="6" borderId="0" xfId="0" applyFont="1" applyFill="1" applyAlignment="1" applyProtection="1">
      <alignment horizontal="right" vertical="top"/>
    </xf>
    <xf numFmtId="0" fontId="23" fillId="6" borderId="0" xfId="0" applyFont="1" applyFill="1" applyAlignment="1" applyProtection="1">
      <alignment horizontal="left"/>
    </xf>
    <xf numFmtId="0" fontId="63" fillId="5" borderId="0" xfId="0" applyFont="1" applyFill="1" applyAlignment="1" applyProtection="1"/>
    <xf numFmtId="0" fontId="24" fillId="6" borderId="0" xfId="0" applyFont="1" applyFill="1" applyAlignment="1" applyProtection="1">
      <alignment horizontal="left"/>
    </xf>
    <xf numFmtId="0" fontId="23" fillId="14" borderId="0" xfId="0" applyFont="1" applyFill="1" applyAlignment="1" applyProtection="1">
      <alignment horizontal="center" vertical="top"/>
    </xf>
    <xf numFmtId="0" fontId="23" fillId="14" borderId="0" xfId="0" applyFont="1" applyFill="1" applyAlignment="1" applyProtection="1">
      <alignment horizontal="center"/>
    </xf>
    <xf numFmtId="0" fontId="44" fillId="6" borderId="0" xfId="0" applyFont="1" applyFill="1" applyAlignment="1" applyProtection="1">
      <alignment horizontal="left" vertical="top"/>
    </xf>
    <xf numFmtId="165" fontId="23" fillId="6" borderId="0" xfId="9" applyNumberFormat="1" applyFont="1" applyFill="1" applyAlignment="1" applyProtection="1">
      <alignment horizontal="left"/>
    </xf>
    <xf numFmtId="0" fontId="23" fillId="6" borderId="0" xfId="0" applyFont="1" applyFill="1" applyAlignment="1" applyProtection="1">
      <alignment horizontal="left" vertical="top"/>
    </xf>
    <xf numFmtId="0" fontId="23" fillId="6" borderId="0" xfId="0" applyFont="1" applyFill="1" applyBorder="1" applyAlignment="1" applyProtection="1">
      <alignment horizontal="left"/>
    </xf>
    <xf numFmtId="0" fontId="63" fillId="5" borderId="0" xfId="0" applyFont="1" applyFill="1" applyAlignment="1" applyProtection="1">
      <alignment horizontal="left" vertical="center"/>
    </xf>
    <xf numFmtId="0" fontId="23" fillId="6" borderId="0" xfId="0" applyFont="1" applyFill="1" applyAlignment="1" applyProtection="1"/>
    <xf numFmtId="0" fontId="22" fillId="5" borderId="0" xfId="0" applyFont="1" applyFill="1" applyBorder="1" applyAlignment="1" applyProtection="1">
      <alignment vertical="top"/>
    </xf>
    <xf numFmtId="0" fontId="25" fillId="5" borderId="0" xfId="0" applyFont="1" applyFill="1" applyAlignment="1" applyProtection="1">
      <alignment vertical="top"/>
      <protection locked="0"/>
    </xf>
    <xf numFmtId="0" fontId="27" fillId="5" borderId="0" xfId="0" applyFont="1" applyFill="1" applyBorder="1" applyAlignment="1" applyProtection="1">
      <alignment vertical="top"/>
      <protection locked="0"/>
    </xf>
    <xf numFmtId="0" fontId="23" fillId="6" borderId="0" xfId="0" applyFont="1" applyFill="1" applyAlignment="1" applyProtection="1">
      <alignment horizontal="center"/>
    </xf>
    <xf numFmtId="0" fontId="23" fillId="14" borderId="1" xfId="0" applyFont="1" applyFill="1" applyBorder="1" applyAlignment="1" applyProtection="1">
      <alignment horizontal="center"/>
    </xf>
    <xf numFmtId="0" fontId="23" fillId="0" borderId="0" xfId="0" applyFont="1" applyFill="1" applyAlignment="1">
      <alignment horizontal="left" vertical="top"/>
    </xf>
    <xf numFmtId="0" fontId="23" fillId="0" borderId="14" xfId="0" applyFont="1" applyFill="1" applyBorder="1" applyAlignment="1" applyProtection="1">
      <alignment horizontal="left" vertical="top"/>
      <protection locked="0"/>
    </xf>
    <xf numFmtId="0" fontId="23" fillId="0" borderId="1" xfId="0" applyFont="1" applyFill="1" applyBorder="1" applyAlignment="1">
      <alignment horizontal="left" vertical="top"/>
    </xf>
    <xf numFmtId="0" fontId="22" fillId="0" borderId="0" xfId="0" applyFont="1" applyFill="1" applyAlignment="1" applyProtection="1">
      <alignment horizontal="left"/>
    </xf>
    <xf numFmtId="0" fontId="22" fillId="0" borderId="0" xfId="0" applyFont="1" applyFill="1" applyAlignment="1" applyProtection="1"/>
    <xf numFmtId="0" fontId="22" fillId="0" borderId="0" xfId="0" applyFont="1" applyFill="1" applyProtection="1"/>
    <xf numFmtId="0" fontId="22" fillId="0" borderId="1" xfId="0" applyFont="1" applyFill="1" applyBorder="1" applyProtection="1"/>
    <xf numFmtId="0" fontId="22" fillId="0" borderId="0" xfId="0" applyFont="1" applyAlignment="1" applyProtection="1">
      <alignment horizontal="left"/>
    </xf>
    <xf numFmtId="0" fontId="22" fillId="0" borderId="0" xfId="0" applyFont="1" applyFill="1" applyBorder="1" applyAlignment="1" applyProtection="1">
      <alignment horizontal="left"/>
    </xf>
    <xf numFmtId="0" fontId="22" fillId="0" borderId="2" xfId="0" applyFont="1" applyFill="1" applyBorder="1" applyAlignment="1" applyProtection="1">
      <alignment wrapText="1"/>
    </xf>
    <xf numFmtId="0" fontId="27" fillId="0" borderId="0" xfId="0" applyFont="1" applyFill="1" applyBorder="1" applyAlignment="1" applyProtection="1"/>
    <xf numFmtId="0" fontId="22" fillId="0" borderId="0" xfId="0" applyFont="1" applyFill="1" applyBorder="1" applyAlignment="1" applyProtection="1"/>
    <xf numFmtId="0" fontId="22" fillId="0" borderId="0" xfId="0" applyFont="1" applyFill="1" applyBorder="1" applyAlignment="1" applyProtection="1">
      <alignment horizontal="left" vertical="top" wrapText="1"/>
    </xf>
    <xf numFmtId="0" fontId="22" fillId="0" borderId="0" xfId="0" applyFont="1" applyFill="1" applyAlignment="1" applyProtection="1">
      <alignment vertical="top" wrapText="1"/>
    </xf>
    <xf numFmtId="0" fontId="23" fillId="14" borderId="3" xfId="0" applyFont="1" applyFill="1" applyBorder="1" applyAlignment="1" applyProtection="1">
      <alignment vertical="top" wrapText="1"/>
    </xf>
    <xf numFmtId="0" fontId="23" fillId="14" borderId="3" xfId="0" applyFont="1" applyFill="1" applyBorder="1" applyAlignment="1" applyProtection="1">
      <alignment vertical="top"/>
    </xf>
    <xf numFmtId="0" fontId="23" fillId="14" borderId="5" xfId="0" applyFont="1" applyFill="1" applyBorder="1" applyAlignment="1" applyProtection="1">
      <alignment vertical="top"/>
    </xf>
    <xf numFmtId="0" fontId="23" fillId="14" borderId="1" xfId="0" applyFont="1" applyFill="1" applyBorder="1" applyAlignment="1" applyProtection="1">
      <alignment horizontal="right" vertical="top" wrapText="1"/>
    </xf>
    <xf numFmtId="165" fontId="22" fillId="14" borderId="1" xfId="14" applyNumberFormat="1" applyFont="1" applyFill="1" applyBorder="1" applyAlignment="1" applyProtection="1">
      <alignment horizontal="right" vertical="top" wrapText="1"/>
    </xf>
    <xf numFmtId="0" fontId="23" fillId="14" borderId="6" xfId="0" applyFont="1" applyFill="1" applyBorder="1" applyAlignment="1" applyProtection="1">
      <alignment horizontal="right" vertical="top" wrapText="1"/>
    </xf>
    <xf numFmtId="0" fontId="25" fillId="0" borderId="0" xfId="0" applyFont="1" applyAlignment="1" applyProtection="1">
      <alignment vertical="top"/>
    </xf>
    <xf numFmtId="0" fontId="23" fillId="0" borderId="0" xfId="0" applyFont="1" applyAlignment="1" applyProtection="1">
      <alignment vertical="top"/>
    </xf>
    <xf numFmtId="0" fontId="24" fillId="0" borderId="0" xfId="0" applyFont="1" applyAlignment="1" applyProtection="1">
      <alignment vertical="top"/>
    </xf>
    <xf numFmtId="0" fontId="22" fillId="0" borderId="0" xfId="0" applyFont="1" applyAlignment="1" applyProtection="1">
      <alignment vertical="top"/>
    </xf>
    <xf numFmtId="0" fontId="23" fillId="0" borderId="1" xfId="0" applyFont="1" applyBorder="1" applyAlignment="1" applyProtection="1">
      <alignment horizontal="right" vertical="top" wrapText="1"/>
    </xf>
    <xf numFmtId="0" fontId="22" fillId="0" borderId="0" xfId="0" applyFont="1" applyFill="1" applyBorder="1" applyAlignment="1" applyProtection="1">
      <alignment vertical="top"/>
    </xf>
    <xf numFmtId="0" fontId="17" fillId="16" borderId="51" xfId="0" applyFont="1" applyFill="1" applyBorder="1" applyAlignment="1" applyProtection="1">
      <alignment horizontal="right"/>
    </xf>
    <xf numFmtId="0" fontId="23" fillId="0" borderId="0" xfId="0" applyFont="1" applyBorder="1" applyAlignment="1" applyProtection="1">
      <alignment horizontal="left" vertical="top"/>
      <protection locked="0"/>
    </xf>
    <xf numFmtId="165" fontId="23" fillId="0" borderId="0" xfId="9" applyNumberFormat="1" applyFont="1" applyFill="1" applyBorder="1" applyAlignment="1" applyProtection="1">
      <alignment horizontal="left" vertical="top"/>
      <protection locked="0"/>
    </xf>
    <xf numFmtId="165" fontId="23" fillId="2" borderId="0" xfId="9" applyNumberFormat="1" applyFont="1" applyFill="1" applyAlignment="1" applyProtection="1">
      <alignment horizontal="left" vertical="top"/>
      <protection locked="0"/>
    </xf>
    <xf numFmtId="165" fontId="23" fillId="0" borderId="0" xfId="9" applyNumberFormat="1" applyFont="1" applyAlignment="1" applyProtection="1">
      <protection locked="0"/>
    </xf>
    <xf numFmtId="165" fontId="23" fillId="0" borderId="0" xfId="9" applyNumberFormat="1" applyFont="1" applyAlignment="1"/>
    <xf numFmtId="165" fontId="22" fillId="0" borderId="0" xfId="9" applyNumberFormat="1" applyFont="1" applyAlignment="1" applyProtection="1">
      <protection locked="0"/>
    </xf>
    <xf numFmtId="165" fontId="22" fillId="5" borderId="4" xfId="9" applyNumberFormat="1" applyFont="1" applyFill="1" applyBorder="1" applyAlignment="1" applyProtection="1"/>
    <xf numFmtId="165" fontId="23" fillId="5" borderId="4" xfId="9" applyNumberFormat="1" applyFont="1" applyFill="1" applyBorder="1" applyAlignment="1" applyProtection="1"/>
    <xf numFmtId="165" fontId="23" fillId="5" borderId="6" xfId="9" applyNumberFormat="1" applyFont="1" applyFill="1" applyBorder="1" applyAlignment="1" applyProtection="1"/>
    <xf numFmtId="165" fontId="23" fillId="2" borderId="4" xfId="9" applyNumberFormat="1" applyFont="1" applyFill="1" applyBorder="1" applyAlignment="1" applyProtection="1">
      <protection locked="0"/>
    </xf>
    <xf numFmtId="0" fontId="22" fillId="0" borderId="0" xfId="0" applyFont="1" applyFill="1" applyBorder="1" applyAlignment="1" applyProtection="1">
      <alignment horizontal="left" vertical="top"/>
      <protection locked="0" hidden="1"/>
    </xf>
    <xf numFmtId="0" fontId="25" fillId="0" borderId="0" xfId="0" applyFont="1" applyBorder="1" applyAlignment="1" applyProtection="1">
      <alignment horizontal="center"/>
    </xf>
    <xf numFmtId="0" fontId="23" fillId="19" borderId="0" xfId="0" applyFont="1" applyFill="1" applyBorder="1" applyAlignment="1" applyProtection="1">
      <alignment horizontal="left" vertical="top"/>
    </xf>
    <xf numFmtId="0" fontId="23" fillId="19" borderId="0" xfId="0" applyFont="1" applyFill="1" applyBorder="1" applyAlignment="1" applyProtection="1">
      <alignment horizontal="left" vertical="top"/>
      <protection locked="0"/>
    </xf>
    <xf numFmtId="37" fontId="24" fillId="14" borderId="45" xfId="9" applyNumberFormat="1" applyFont="1" applyFill="1" applyBorder="1" applyAlignment="1" applyProtection="1">
      <alignment horizontal="right"/>
      <protection locked="0"/>
    </xf>
    <xf numFmtId="37" fontId="24" fillId="14" borderId="45" xfId="9" applyNumberFormat="1" applyFont="1" applyFill="1" applyBorder="1" applyAlignment="1" applyProtection="1">
      <alignment horizontal="right" vertical="top"/>
      <protection locked="0"/>
    </xf>
    <xf numFmtId="0" fontId="27" fillId="0" borderId="0" xfId="0" applyFont="1" applyBorder="1" applyAlignment="1" applyProtection="1">
      <alignment horizontal="center"/>
    </xf>
    <xf numFmtId="0" fontId="22" fillId="0" borderId="0" xfId="0" applyFont="1" applyAlignment="1" applyProtection="1">
      <alignment horizontal="center"/>
      <protection locked="0"/>
    </xf>
    <xf numFmtId="0" fontId="23" fillId="0" borderId="0" xfId="0" applyFont="1" applyBorder="1" applyAlignment="1" applyProtection="1">
      <alignment horizontal="left" vertical="top"/>
      <protection locked="0"/>
    </xf>
    <xf numFmtId="0" fontId="22" fillId="0" borderId="0" xfId="0" applyFont="1" applyAlignment="1" applyProtection="1">
      <alignment horizontal="center"/>
      <protection locked="0"/>
    </xf>
    <xf numFmtId="0" fontId="23" fillId="23" borderId="17" xfId="0" applyFont="1" applyFill="1" applyBorder="1" applyAlignment="1" applyProtection="1">
      <alignment horizontal="right"/>
    </xf>
    <xf numFmtId="0" fontId="22" fillId="0" borderId="0" xfId="0" quotePrefix="1" applyFont="1" applyBorder="1" applyProtection="1">
      <protection locked="0"/>
    </xf>
    <xf numFmtId="43" fontId="23" fillId="0" borderId="62" xfId="9" applyFont="1" applyBorder="1" applyAlignment="1" applyProtection="1">
      <alignment horizontal="right" vertical="top"/>
      <protection hidden="1"/>
    </xf>
    <xf numFmtId="43" fontId="23" fillId="0" borderId="61" xfId="9" applyFont="1" applyBorder="1" applyAlignment="1" applyProtection="1">
      <alignment horizontal="right" vertical="top"/>
      <protection hidden="1"/>
    </xf>
    <xf numFmtId="43" fontId="23" fillId="20" borderId="0" xfId="9" applyFont="1" applyFill="1" applyBorder="1" applyAlignment="1" applyProtection="1">
      <alignment horizontal="center" vertical="center"/>
      <protection locked="0"/>
    </xf>
    <xf numFmtId="0" fontId="22" fillId="0" borderId="0" xfId="0" applyFont="1" applyAlignment="1" applyProtection="1">
      <alignment horizontal="center"/>
      <protection locked="0"/>
    </xf>
    <xf numFmtId="9" fontId="23" fillId="0" borderId="4" xfId="2" applyFont="1" applyBorder="1" applyAlignment="1" applyProtection="1">
      <protection locked="0"/>
    </xf>
    <xf numFmtId="9" fontId="23" fillId="0" borderId="6" xfId="2" applyFont="1" applyBorder="1" applyAlignment="1" applyProtection="1">
      <protection locked="0"/>
    </xf>
    <xf numFmtId="165" fontId="23" fillId="20" borderId="0" xfId="9" applyNumberFormat="1" applyFont="1" applyFill="1" applyBorder="1" applyAlignment="1" applyProtection="1">
      <alignment horizontal="center" vertical="center"/>
      <protection locked="0"/>
    </xf>
    <xf numFmtId="43" fontId="23" fillId="2" borderId="0" xfId="9" applyNumberFormat="1" applyFont="1" applyFill="1" applyBorder="1" applyAlignment="1" applyProtection="1">
      <alignment horizontal="center" vertical="center"/>
    </xf>
    <xf numFmtId="43" fontId="23" fillId="2" borderId="1" xfId="9" applyNumberFormat="1" applyFont="1" applyFill="1" applyBorder="1" applyAlignment="1" applyProtection="1">
      <alignment horizontal="center" vertical="center"/>
    </xf>
    <xf numFmtId="165" fontId="23" fillId="14" borderId="13" xfId="14" applyNumberFormat="1" applyFont="1" applyFill="1" applyBorder="1" applyAlignment="1" applyProtection="1">
      <alignment horizontal="right"/>
      <protection locked="0"/>
    </xf>
    <xf numFmtId="165" fontId="23" fillId="19" borderId="0" xfId="14" applyNumberFormat="1" applyFont="1" applyFill="1" applyAlignment="1" applyProtection="1">
      <alignment vertical="top"/>
    </xf>
    <xf numFmtId="10" fontId="23" fillId="2" borderId="0" xfId="2" applyNumberFormat="1" applyFont="1" applyFill="1" applyBorder="1" applyAlignment="1" applyProtection="1">
      <alignment horizontal="center" vertical="center"/>
    </xf>
    <xf numFmtId="9" fontId="44" fillId="29" borderId="44" xfId="2" applyFont="1" applyFill="1" applyBorder="1" applyAlignment="1" applyProtection="1">
      <alignment horizontal="center" vertical="center"/>
    </xf>
    <xf numFmtId="9" fontId="44" fillId="29" borderId="41" xfId="2" applyFont="1" applyFill="1" applyBorder="1" applyAlignment="1" applyProtection="1">
      <alignment horizontal="center" vertical="center"/>
    </xf>
    <xf numFmtId="10" fontId="23" fillId="2" borderId="1" xfId="2" applyNumberFormat="1" applyFont="1" applyFill="1" applyBorder="1" applyAlignment="1" applyProtection="1">
      <alignment horizontal="center" vertical="center"/>
    </xf>
    <xf numFmtId="43" fontId="23" fillId="3" borderId="0" xfId="9" applyNumberFormat="1" applyFont="1" applyFill="1" applyBorder="1" applyAlignment="1" applyProtection="1">
      <alignment horizontal="center" vertical="center"/>
    </xf>
    <xf numFmtId="43" fontId="23" fillId="3" borderId="0" xfId="9" applyNumberFormat="1" applyFont="1" applyFill="1" applyBorder="1" applyAlignment="1" applyProtection="1">
      <alignment horizontal="center" vertical="center"/>
      <protection hidden="1"/>
    </xf>
    <xf numFmtId="10" fontId="23" fillId="33" borderId="0" xfId="2" applyNumberFormat="1" applyFont="1" applyFill="1" applyBorder="1" applyAlignment="1" applyProtection="1">
      <alignment horizontal="center" vertical="center"/>
      <protection hidden="1"/>
    </xf>
    <xf numFmtId="10" fontId="23" fillId="33" borderId="0" xfId="2" applyNumberFormat="1" applyFont="1" applyFill="1" applyBorder="1" applyAlignment="1" applyProtection="1">
      <alignment horizontal="center" vertical="center"/>
    </xf>
    <xf numFmtId="9" fontId="23" fillId="0" borderId="4" xfId="2" applyFont="1" applyBorder="1" applyAlignment="1" applyProtection="1">
      <alignment horizontal="right" vertical="top"/>
      <protection locked="0"/>
    </xf>
    <xf numFmtId="9" fontId="23" fillId="0" borderId="6" xfId="2" applyFont="1" applyBorder="1" applyAlignment="1" applyProtection="1">
      <alignment horizontal="right" vertical="top"/>
      <protection locked="0"/>
    </xf>
    <xf numFmtId="10" fontId="23" fillId="20" borderId="63" xfId="2" applyNumberFormat="1" applyFont="1" applyFill="1" applyBorder="1" applyAlignment="1" applyProtection="1">
      <alignment horizontal="right" vertical="top"/>
      <protection locked="0"/>
    </xf>
    <xf numFmtId="10" fontId="23" fillId="20" borderId="64" xfId="2" applyNumberFormat="1" applyFont="1" applyFill="1" applyBorder="1" applyAlignment="1" applyProtection="1">
      <alignment horizontal="right" vertical="top"/>
      <protection locked="0"/>
    </xf>
    <xf numFmtId="10" fontId="23" fillId="20" borderId="65" xfId="2" applyNumberFormat="1" applyFont="1" applyFill="1" applyBorder="1" applyAlignment="1" applyProtection="1">
      <alignment horizontal="right" vertical="top"/>
      <protection locked="0"/>
    </xf>
    <xf numFmtId="0" fontId="23" fillId="0" borderId="58" xfId="0" applyFont="1" applyBorder="1" applyAlignment="1" applyProtection="1">
      <alignment horizontal="center"/>
      <protection locked="0"/>
    </xf>
    <xf numFmtId="0" fontId="23" fillId="0" borderId="59" xfId="0" applyFont="1" applyBorder="1" applyAlignment="1" applyProtection="1">
      <alignment horizontal="center"/>
      <protection locked="0"/>
    </xf>
    <xf numFmtId="0" fontId="23" fillId="0" borderId="60" xfId="0" applyFont="1" applyBorder="1" applyAlignment="1" applyProtection="1">
      <alignment horizontal="center"/>
      <protection locked="0"/>
    </xf>
    <xf numFmtId="166" fontId="22" fillId="5" borderId="0" xfId="2" applyNumberFormat="1" applyFont="1" applyFill="1" applyBorder="1" applyAlignment="1" applyProtection="1">
      <alignment horizontal="center"/>
      <protection hidden="1"/>
    </xf>
    <xf numFmtId="166" fontId="22" fillId="5" borderId="1" xfId="2" applyNumberFormat="1" applyFont="1" applyFill="1" applyBorder="1" applyAlignment="1" applyProtection="1">
      <alignment horizontal="center"/>
      <protection hidden="1"/>
    </xf>
    <xf numFmtId="0" fontId="25" fillId="5" borderId="0" xfId="0" applyFont="1" applyFill="1" applyAlignment="1" applyProtection="1">
      <alignment horizontal="right"/>
      <protection locked="0"/>
    </xf>
    <xf numFmtId="0" fontId="23" fillId="0" borderId="16" xfId="0" applyFont="1" applyBorder="1" applyAlignment="1" applyProtection="1">
      <alignment horizontal="center"/>
      <protection locked="0"/>
    </xf>
    <xf numFmtId="0" fontId="23" fillId="0" borderId="1" xfId="0" applyFont="1" applyBorder="1" applyAlignment="1">
      <alignment horizontal="left"/>
    </xf>
    <xf numFmtId="0" fontId="23" fillId="0" borderId="0" xfId="0" quotePrefix="1" applyFont="1" applyBorder="1" applyAlignment="1" applyProtection="1">
      <alignment horizontal="right" vertical="top"/>
      <protection locked="0"/>
    </xf>
    <xf numFmtId="165" fontId="22" fillId="0" borderId="14" xfId="9" applyNumberFormat="1" applyFont="1" applyBorder="1" applyAlignment="1" applyProtection="1">
      <alignment horizontal="right" vertical="top"/>
      <protection hidden="1"/>
    </xf>
    <xf numFmtId="0" fontId="46" fillId="5" borderId="0" xfId="0" applyFont="1" applyFill="1" applyBorder="1" applyAlignment="1" applyProtection="1">
      <alignment horizontal="center" vertical="top" wrapText="1"/>
    </xf>
    <xf numFmtId="0" fontId="22" fillId="0" borderId="0" xfId="0" applyFont="1" applyFill="1" applyBorder="1" applyAlignment="1" applyProtection="1">
      <alignment horizontal="left" vertical="top"/>
      <protection locked="0" hidden="1"/>
    </xf>
    <xf numFmtId="0" fontId="22" fillId="0" borderId="1" xfId="0" applyFont="1" applyBorder="1" applyAlignment="1" applyProtection="1">
      <alignment horizontal="left" vertical="top"/>
    </xf>
    <xf numFmtId="0" fontId="22" fillId="5" borderId="10" xfId="0" applyFont="1" applyFill="1" applyBorder="1" applyAlignment="1">
      <alignment horizontal="center"/>
    </xf>
    <xf numFmtId="0" fontId="23" fillId="0" borderId="0" xfId="0" applyFont="1" applyBorder="1" applyAlignment="1" applyProtection="1">
      <alignment horizontal="left" vertical="top"/>
      <protection locked="0"/>
    </xf>
    <xf numFmtId="0" fontId="22" fillId="0" borderId="0" xfId="0" applyFont="1" applyAlignment="1">
      <alignment horizontal="center"/>
    </xf>
    <xf numFmtId="0" fontId="23" fillId="19" borderId="0" xfId="0" applyFont="1" applyFill="1" applyBorder="1" applyAlignment="1" applyProtection="1">
      <alignment horizontal="left" vertical="top"/>
      <protection locked="0"/>
    </xf>
    <xf numFmtId="37" fontId="24" fillId="14" borderId="46" xfId="9" applyNumberFormat="1" applyFont="1" applyFill="1" applyBorder="1" applyAlignment="1" applyProtection="1">
      <alignment horizontal="right"/>
      <protection locked="0"/>
    </xf>
    <xf numFmtId="37" fontId="24" fillId="14" borderId="46" xfId="9" applyNumberFormat="1" applyFont="1" applyFill="1" applyBorder="1" applyAlignment="1" applyProtection="1">
      <alignment horizontal="right" vertical="top"/>
      <protection locked="0"/>
    </xf>
    <xf numFmtId="0" fontId="22" fillId="0" borderId="0" xfId="0" applyFont="1" applyAlignment="1" applyProtection="1">
      <alignment horizontal="center"/>
      <protection locked="0"/>
    </xf>
    <xf numFmtId="0" fontId="22" fillId="0" borderId="1" xfId="0" applyFont="1" applyBorder="1" applyAlignment="1" applyProtection="1">
      <alignment horizontal="left" vertical="top"/>
    </xf>
    <xf numFmtId="0" fontId="23" fillId="19" borderId="1" xfId="0" applyFont="1" applyFill="1" applyBorder="1" applyAlignment="1" applyProtection="1">
      <alignment horizontal="center"/>
      <protection locked="0"/>
    </xf>
    <xf numFmtId="0" fontId="23" fillId="0" borderId="0" xfId="0" applyFont="1" applyBorder="1" applyAlignment="1" applyProtection="1">
      <alignment horizontal="left" vertical="top"/>
      <protection locked="0"/>
    </xf>
    <xf numFmtId="0" fontId="44" fillId="5" borderId="0" xfId="0" applyFont="1" applyFill="1" applyBorder="1" applyAlignment="1" applyProtection="1">
      <alignment horizontal="center" vertical="top"/>
      <protection locked="0"/>
    </xf>
    <xf numFmtId="0" fontId="44" fillId="5" borderId="0" xfId="0" applyFont="1" applyFill="1" applyBorder="1" applyAlignment="1" applyProtection="1">
      <alignment horizontal="center" vertical="center"/>
    </xf>
    <xf numFmtId="0" fontId="44" fillId="5" borderId="16" xfId="0" applyFont="1" applyFill="1" applyBorder="1" applyAlignment="1" applyProtection="1">
      <alignment horizontal="center"/>
      <protection locked="0"/>
    </xf>
    <xf numFmtId="0" fontId="75" fillId="23" borderId="17" xfId="0" applyFont="1" applyFill="1" applyBorder="1" applyAlignment="1" applyProtection="1">
      <alignment horizontal="left" vertical="top"/>
      <protection locked="0"/>
    </xf>
    <xf numFmtId="0" fontId="17" fillId="0" borderId="0" xfId="12" applyFont="1" applyBorder="1" applyAlignment="1" applyProtection="1">
      <alignment horizontal="left"/>
      <protection locked="0"/>
    </xf>
    <xf numFmtId="0" fontId="17" fillId="0" borderId="0" xfId="0" applyFont="1" applyBorder="1" applyAlignment="1" applyProtection="1">
      <alignment horizontal="left" vertical="top"/>
      <protection locked="0"/>
    </xf>
    <xf numFmtId="0" fontId="17" fillId="0" borderId="0" xfId="0" applyFont="1" applyBorder="1" applyAlignment="1" applyProtection="1">
      <alignment horizontal="left"/>
      <protection locked="0"/>
    </xf>
    <xf numFmtId="0" fontId="22" fillId="0" borderId="16" xfId="0" applyFont="1" applyBorder="1" applyAlignment="1" applyProtection="1">
      <alignment horizontal="left" vertical="top"/>
      <protection locked="0"/>
    </xf>
    <xf numFmtId="0" fontId="25" fillId="19" borderId="2" xfId="0" applyFont="1" applyFill="1" applyBorder="1" applyAlignment="1" applyProtection="1">
      <alignment horizontal="left" vertical="top"/>
    </xf>
    <xf numFmtId="0" fontId="23" fillId="19" borderId="1" xfId="0" applyFont="1" applyFill="1" applyBorder="1" applyAlignment="1" applyProtection="1">
      <alignment horizontal="center"/>
    </xf>
    <xf numFmtId="0" fontId="22" fillId="0" borderId="14" xfId="0" quotePrefix="1" applyFont="1" applyBorder="1" applyAlignment="1" applyProtection="1">
      <alignment vertical="top"/>
      <protection locked="0"/>
    </xf>
    <xf numFmtId="0" fontId="80" fillId="0" borderId="20" xfId="0" applyFont="1" applyBorder="1" applyAlignment="1" applyProtection="1">
      <alignment horizontal="left" vertical="top"/>
    </xf>
    <xf numFmtId="0" fontId="16" fillId="0" borderId="20" xfId="0" applyFont="1" applyBorder="1" applyAlignment="1" applyProtection="1">
      <alignment horizontal="left" vertical="top"/>
    </xf>
    <xf numFmtId="0" fontId="22" fillId="0" borderId="1" xfId="0" applyFont="1" applyFill="1" applyBorder="1" applyAlignment="1" applyProtection="1">
      <alignment horizontal="center" vertical="center" wrapText="1"/>
    </xf>
    <xf numFmtId="43" fontId="23" fillId="0" borderId="0" xfId="9" applyFont="1" applyFill="1" applyBorder="1" applyAlignment="1" applyProtection="1">
      <alignment horizontal="right" vertical="top"/>
    </xf>
    <xf numFmtId="0" fontId="80" fillId="6" borderId="0" xfId="0" applyFont="1" applyFill="1" applyAlignment="1" applyProtection="1"/>
    <xf numFmtId="0" fontId="22" fillId="3" borderId="66" xfId="0" applyFont="1" applyFill="1" applyBorder="1" applyAlignment="1" applyProtection="1">
      <alignment horizontal="center"/>
      <protection locked="0"/>
    </xf>
    <xf numFmtId="0" fontId="46" fillId="5" borderId="2" xfId="0" applyFont="1" applyFill="1" applyBorder="1" applyAlignment="1" applyProtection="1">
      <alignment horizontal="center" vertical="top" wrapText="1"/>
    </xf>
    <xf numFmtId="0" fontId="46" fillId="5" borderId="11" xfId="0" applyFont="1" applyFill="1" applyBorder="1" applyAlignment="1" applyProtection="1">
      <alignment horizontal="center" vertical="top" wrapText="1"/>
    </xf>
    <xf numFmtId="0" fontId="22" fillId="5" borderId="0" xfId="0" applyFont="1" applyFill="1" applyAlignment="1" applyProtection="1">
      <alignment horizontal="center"/>
      <protection locked="0"/>
    </xf>
    <xf numFmtId="0" fontId="22" fillId="5" borderId="3" xfId="0" applyFont="1" applyFill="1" applyBorder="1" applyAlignment="1">
      <alignment horizontal="center"/>
    </xf>
    <xf numFmtId="0" fontId="23" fillId="5" borderId="1" xfId="0" applyFont="1" applyFill="1" applyBorder="1" applyAlignment="1" applyProtection="1">
      <alignment horizontal="center"/>
      <protection locked="0"/>
    </xf>
    <xf numFmtId="165" fontId="23" fillId="5" borderId="0" xfId="9" applyNumberFormat="1" applyFont="1" applyFill="1" applyAlignment="1" applyProtection="1">
      <alignment horizontal="center"/>
      <protection locked="0"/>
    </xf>
    <xf numFmtId="0" fontId="0" fillId="0" borderId="0" xfId="0" applyAlignment="1"/>
    <xf numFmtId="0" fontId="23" fillId="14" borderId="0" xfId="0" applyFont="1" applyFill="1" applyAlignment="1" applyProtection="1">
      <alignment horizontal="center" vertical="top"/>
    </xf>
    <xf numFmtId="0" fontId="23" fillId="19" borderId="0" xfId="0" applyFont="1" applyFill="1" applyBorder="1" applyAlignment="1" applyProtection="1">
      <alignment horizontal="left" vertical="top"/>
      <protection locked="0"/>
    </xf>
    <xf numFmtId="37" fontId="24" fillId="14" borderId="46" xfId="9" applyNumberFormat="1" applyFont="1" applyFill="1" applyBorder="1" applyAlignment="1" applyProtection="1">
      <alignment horizontal="right"/>
      <protection locked="0"/>
    </xf>
    <xf numFmtId="37" fontId="24" fillId="14" borderId="46" xfId="9" applyNumberFormat="1" applyFont="1" applyFill="1" applyBorder="1" applyAlignment="1" applyProtection="1">
      <alignment horizontal="right" vertical="top"/>
      <protection locked="0"/>
    </xf>
    <xf numFmtId="0" fontId="23" fillId="14" borderId="0" xfId="0" applyFont="1" applyFill="1" applyAlignment="1" applyProtection="1">
      <alignment horizontal="center" vertical="top"/>
      <protection locked="0"/>
    </xf>
    <xf numFmtId="0" fontId="22" fillId="0" borderId="1" xfId="0" applyFont="1" applyBorder="1" applyAlignment="1" applyProtection="1">
      <alignment horizontal="left" vertical="top"/>
    </xf>
    <xf numFmtId="165" fontId="22" fillId="5" borderId="10" xfId="9" applyNumberFormat="1" applyFont="1" applyFill="1" applyBorder="1" applyAlignment="1" applyProtection="1">
      <alignment horizontal="center"/>
      <protection locked="0"/>
    </xf>
    <xf numFmtId="0" fontId="23" fillId="19" borderId="1" xfId="0" applyFont="1" applyFill="1" applyBorder="1" applyAlignment="1" applyProtection="1">
      <alignment horizontal="center"/>
      <protection locked="0"/>
    </xf>
    <xf numFmtId="0" fontId="23" fillId="0" borderId="0" xfId="0" applyFont="1" applyBorder="1" applyAlignment="1" applyProtection="1">
      <alignment horizontal="left" vertical="top"/>
      <protection locked="0"/>
    </xf>
    <xf numFmtId="0" fontId="75" fillId="23" borderId="2" xfId="0" applyFont="1" applyFill="1" applyBorder="1" applyAlignment="1" applyProtection="1">
      <alignment horizontal="left" vertical="top"/>
      <protection locked="0"/>
    </xf>
    <xf numFmtId="0" fontId="17" fillId="0" borderId="1" xfId="12" applyFont="1" applyBorder="1" applyAlignment="1" applyProtection="1">
      <alignment horizontal="left"/>
      <protection locked="0"/>
    </xf>
    <xf numFmtId="0" fontId="25" fillId="19" borderId="2" xfId="0" applyFont="1" applyFill="1" applyBorder="1" applyAlignment="1" applyProtection="1">
      <alignment horizontal="left" vertical="top"/>
      <protection locked="0"/>
    </xf>
    <xf numFmtId="10" fontId="23" fillId="0" borderId="4" xfId="2" applyNumberFormat="1" applyFont="1" applyFill="1" applyBorder="1" applyAlignment="1" applyProtection="1">
      <alignment horizontal="right" vertical="top"/>
      <protection locked="0"/>
    </xf>
    <xf numFmtId="0" fontId="23" fillId="14" borderId="0" xfId="0" applyFont="1" applyFill="1" applyAlignment="1" applyProtection="1">
      <alignment vertical="top"/>
    </xf>
    <xf numFmtId="0" fontId="75" fillId="23" borderId="0" xfId="0" applyFont="1" applyFill="1" applyBorder="1" applyAlignment="1" applyProtection="1">
      <alignment horizontal="left" vertical="top"/>
      <protection locked="0"/>
    </xf>
    <xf numFmtId="0" fontId="44" fillId="6" borderId="0" xfId="0" applyFont="1" applyFill="1" applyAlignment="1" applyProtection="1">
      <alignment vertical="top" wrapText="1"/>
      <protection locked="0"/>
    </xf>
    <xf numFmtId="43" fontId="23" fillId="0" borderId="0" xfId="9" applyFont="1" applyFill="1" applyBorder="1" applyAlignment="1" applyProtection="1">
      <alignment horizontal="right" vertical="top"/>
      <protection hidden="1"/>
    </xf>
    <xf numFmtId="0" fontId="22" fillId="5" borderId="10" xfId="0" applyFont="1" applyFill="1" applyBorder="1" applyAlignment="1" applyProtection="1"/>
    <xf numFmtId="0" fontId="22" fillId="5" borderId="2" xfId="0" applyFont="1" applyFill="1" applyBorder="1" applyAlignment="1" applyProtection="1"/>
    <xf numFmtId="0" fontId="22" fillId="5" borderId="11" xfId="0" applyFont="1" applyFill="1" applyBorder="1" applyAlignment="1" applyProtection="1"/>
    <xf numFmtId="0" fontId="23" fillId="0" borderId="0" xfId="0" applyFont="1" applyFill="1" applyBorder="1" applyAlignment="1" applyProtection="1">
      <alignment horizontal="center" wrapText="1"/>
      <protection locked="0"/>
    </xf>
    <xf numFmtId="0" fontId="46" fillId="0" borderId="0" xfId="0" applyFont="1" applyFill="1" applyBorder="1" applyAlignment="1" applyProtection="1">
      <alignment horizontal="center" vertical="top" wrapText="1"/>
    </xf>
    <xf numFmtId="0" fontId="22" fillId="0" borderId="0" xfId="0" applyFont="1" applyFill="1" applyBorder="1" applyAlignment="1" applyProtection="1">
      <alignment horizontal="center" vertical="top"/>
    </xf>
    <xf numFmtId="165" fontId="22" fillId="0" borderId="0" xfId="9" applyNumberFormat="1" applyFont="1" applyFill="1" applyBorder="1" applyAlignment="1" applyProtection="1">
      <alignment horizontal="left" vertical="top"/>
      <protection locked="0"/>
    </xf>
    <xf numFmtId="0" fontId="22" fillId="0" borderId="10" xfId="0" applyFont="1" applyBorder="1" applyAlignment="1">
      <alignment horizontal="center"/>
    </xf>
    <xf numFmtId="165" fontId="22" fillId="3" borderId="68" xfId="9" applyNumberFormat="1" applyFont="1" applyFill="1" applyBorder="1" applyAlignment="1" applyProtection="1">
      <alignment horizontal="left" vertical="top"/>
      <protection locked="0"/>
    </xf>
    <xf numFmtId="165" fontId="22" fillId="3" borderId="66" xfId="9" applyNumberFormat="1" applyFont="1" applyFill="1" applyBorder="1" applyAlignment="1" applyProtection="1">
      <alignment horizontal="center"/>
      <protection locked="0"/>
    </xf>
    <xf numFmtId="165" fontId="22" fillId="2" borderId="10" xfId="9" applyNumberFormat="1" applyFont="1" applyFill="1" applyBorder="1" applyAlignment="1" applyProtection="1">
      <alignment horizontal="center"/>
      <protection locked="0"/>
    </xf>
    <xf numFmtId="165" fontId="22" fillId="0" borderId="2" xfId="9" applyNumberFormat="1" applyFont="1" applyBorder="1" applyAlignment="1" applyProtection="1">
      <alignment horizontal="center"/>
      <protection locked="0"/>
    </xf>
    <xf numFmtId="165" fontId="22" fillId="5" borderId="2" xfId="9" applyNumberFormat="1" applyFont="1" applyFill="1" applyBorder="1" applyAlignment="1" applyProtection="1">
      <alignment horizontal="left" vertical="top"/>
      <protection locked="0"/>
    </xf>
    <xf numFmtId="165" fontId="23" fillId="0" borderId="0" xfId="9" applyNumberFormat="1" applyFont="1" applyFill="1" applyBorder="1" applyAlignment="1" applyProtection="1">
      <alignment horizontal="center" wrapText="1"/>
      <protection locked="0"/>
    </xf>
    <xf numFmtId="165" fontId="46" fillId="5" borderId="11" xfId="9" applyNumberFormat="1" applyFont="1" applyFill="1" applyBorder="1" applyAlignment="1" applyProtection="1">
      <alignment horizontal="center" vertical="top" wrapText="1"/>
      <protection locked="0"/>
    </xf>
    <xf numFmtId="0" fontId="23" fillId="14" borderId="0" xfId="0" applyFont="1" applyFill="1" applyAlignment="1" applyProtection="1">
      <alignment vertical="top"/>
      <protection locked="0"/>
    </xf>
    <xf numFmtId="0" fontId="23" fillId="14" borderId="1" xfId="0" applyFont="1" applyFill="1" applyBorder="1" applyAlignment="1" applyProtection="1">
      <alignment horizontal="right"/>
    </xf>
    <xf numFmtId="0" fontId="25" fillId="5" borderId="0" xfId="0" applyFont="1" applyFill="1" applyAlignment="1" applyProtection="1">
      <alignment horizontal="center"/>
      <protection locked="0"/>
    </xf>
    <xf numFmtId="0" fontId="38" fillId="5" borderId="0" xfId="10" applyFont="1" applyFill="1" applyAlignment="1" applyProtection="1">
      <alignment horizontal="left" vertical="top"/>
      <protection locked="0"/>
    </xf>
    <xf numFmtId="1" fontId="23" fillId="5" borderId="0" xfId="0" applyNumberFormat="1" applyFont="1" applyFill="1" applyBorder="1" applyAlignment="1" applyProtection="1">
      <alignment horizontal="right"/>
    </xf>
    <xf numFmtId="0" fontId="38" fillId="5" borderId="0" xfId="10" applyFont="1" applyFill="1" applyAlignment="1" applyProtection="1">
      <alignment horizontal="left" vertical="top"/>
    </xf>
    <xf numFmtId="0" fontId="22" fillId="0" borderId="0" xfId="0" quotePrefix="1" applyFont="1" applyBorder="1" applyAlignment="1" applyProtection="1">
      <alignment vertical="top"/>
      <protection locked="0"/>
    </xf>
    <xf numFmtId="37" fontId="23" fillId="14" borderId="14" xfId="9" applyNumberFormat="1" applyFont="1" applyFill="1" applyBorder="1" applyAlignment="1" applyProtection="1">
      <protection locked="0"/>
    </xf>
    <xf numFmtId="165" fontId="23" fillId="14" borderId="14" xfId="9" applyNumberFormat="1" applyFont="1" applyFill="1" applyBorder="1" applyAlignment="1" applyProtection="1">
      <protection locked="0"/>
    </xf>
    <xf numFmtId="37" fontId="23" fillId="6" borderId="50" xfId="0" applyNumberFormat="1" applyFont="1" applyFill="1" applyBorder="1" applyAlignment="1" applyProtection="1">
      <protection locked="0"/>
    </xf>
    <xf numFmtId="37" fontId="23" fillId="6" borderId="10" xfId="0" applyNumberFormat="1" applyFont="1" applyFill="1" applyBorder="1" applyAlignment="1" applyProtection="1">
      <protection locked="0"/>
    </xf>
    <xf numFmtId="37" fontId="23" fillId="6" borderId="50" xfId="0" applyNumberFormat="1" applyFont="1" applyFill="1" applyBorder="1" applyAlignment="1" applyProtection="1">
      <alignment horizontal="center"/>
    </xf>
    <xf numFmtId="37" fontId="23" fillId="6" borderId="10" xfId="0" applyNumberFormat="1" applyFont="1" applyFill="1" applyBorder="1" applyAlignment="1" applyProtection="1">
      <alignment horizontal="center"/>
    </xf>
    <xf numFmtId="37" fontId="23" fillId="14" borderId="50" xfId="0" applyNumberFormat="1" applyFont="1" applyFill="1" applyBorder="1" applyAlignment="1" applyProtection="1">
      <alignment horizontal="right" vertical="top"/>
      <protection locked="0"/>
    </xf>
    <xf numFmtId="37" fontId="23" fillId="14" borderId="10" xfId="0" applyNumberFormat="1" applyFont="1" applyFill="1" applyBorder="1" applyAlignment="1" applyProtection="1">
      <alignment horizontal="right" vertical="top"/>
      <protection locked="0"/>
    </xf>
    <xf numFmtId="0" fontId="22" fillId="0" borderId="1" xfId="0" applyFont="1" applyBorder="1" applyAlignment="1">
      <alignment horizontal="center"/>
    </xf>
    <xf numFmtId="0" fontId="22" fillId="0" borderId="6" xfId="0" applyFont="1" applyBorder="1" applyAlignment="1" applyProtection="1">
      <alignment horizontal="center" vertical="center" wrapText="1"/>
    </xf>
    <xf numFmtId="0" fontId="81" fillId="0" borderId="0" xfId="0" applyFont="1" applyProtection="1">
      <protection locked="0"/>
    </xf>
    <xf numFmtId="0" fontId="0" fillId="0" borderId="0" xfId="0" applyProtection="1">
      <protection locked="0"/>
    </xf>
    <xf numFmtId="0" fontId="83" fillId="0" borderId="0" xfId="0" applyFont="1" applyProtection="1">
      <protection locked="0"/>
    </xf>
    <xf numFmtId="10" fontId="0" fillId="34" borderId="0" xfId="2" applyNumberFormat="1" applyFont="1" applyFill="1" applyProtection="1">
      <protection locked="0"/>
    </xf>
    <xf numFmtId="2" fontId="0" fillId="35" borderId="0" xfId="0" applyNumberFormat="1" applyFill="1" applyProtection="1"/>
    <xf numFmtId="0" fontId="0" fillId="34" borderId="0" xfId="0" applyFill="1" applyProtection="1">
      <protection locked="0"/>
    </xf>
    <xf numFmtId="10" fontId="0" fillId="35" borderId="0" xfId="2" applyNumberFormat="1" applyFont="1" applyFill="1" applyProtection="1"/>
    <xf numFmtId="0" fontId="2" fillId="0" borderId="0" xfId="82" applyProtection="1">
      <protection locked="0"/>
    </xf>
    <xf numFmtId="0" fontId="85" fillId="0" borderId="0" xfId="82" applyFont="1" applyAlignment="1" applyProtection="1">
      <alignment vertical="top" wrapText="1"/>
      <protection locked="0"/>
    </xf>
    <xf numFmtId="0" fontId="41" fillId="0" borderId="0" xfId="82" applyFont="1" applyProtection="1">
      <protection locked="0"/>
    </xf>
    <xf numFmtId="0" fontId="2" fillId="0" borderId="0" xfId="82" applyFont="1" applyProtection="1">
      <protection locked="0"/>
    </xf>
    <xf numFmtId="165" fontId="0" fillId="34" borderId="0" xfId="83" applyNumberFormat="1" applyFont="1" applyFill="1" applyProtection="1">
      <protection locked="0"/>
    </xf>
    <xf numFmtId="165" fontId="0" fillId="0" borderId="0" xfId="83" applyNumberFormat="1" applyFont="1" applyFill="1" applyProtection="1">
      <protection locked="0"/>
    </xf>
    <xf numFmtId="0" fontId="2" fillId="0" borderId="0" xfId="82" applyProtection="1"/>
    <xf numFmtId="0" fontId="2" fillId="0" borderId="0" xfId="82" applyFill="1" applyProtection="1">
      <protection locked="0"/>
    </xf>
    <xf numFmtId="0" fontId="2" fillId="34" borderId="0" xfId="82" applyFont="1" applyFill="1" applyProtection="1">
      <protection locked="0"/>
    </xf>
    <xf numFmtId="0" fontId="2" fillId="0" borderId="0" xfId="82" applyFont="1" applyFill="1" applyProtection="1">
      <protection locked="0"/>
    </xf>
    <xf numFmtId="10" fontId="0" fillId="0" borderId="0" xfId="84" applyNumberFormat="1" applyFont="1" applyProtection="1">
      <protection locked="0"/>
    </xf>
    <xf numFmtId="10" fontId="0" fillId="0" borderId="0" xfId="84" applyNumberFormat="1" applyFont="1" applyFill="1" applyProtection="1">
      <protection locked="0"/>
    </xf>
    <xf numFmtId="0" fontId="2" fillId="0" borderId="0" xfId="82" applyFill="1" applyProtection="1"/>
    <xf numFmtId="0" fontId="2" fillId="0" borderId="0" xfId="82" applyFont="1" applyAlignment="1" applyProtection="1">
      <alignment horizontal="left" vertical="top"/>
      <protection locked="0"/>
    </xf>
    <xf numFmtId="165" fontId="2" fillId="35" borderId="0" xfId="82" applyNumberFormat="1" applyFill="1" applyAlignment="1" applyProtection="1">
      <alignment horizontal="left" vertical="top"/>
    </xf>
    <xf numFmtId="0" fontId="2" fillId="0" borderId="0" xfId="82" applyAlignment="1" applyProtection="1">
      <alignment horizontal="left" vertical="top"/>
    </xf>
    <xf numFmtId="0" fontId="2" fillId="0" borderId="0" xfId="82" applyAlignment="1" applyProtection="1">
      <alignment horizontal="left" vertical="top"/>
      <protection locked="0"/>
    </xf>
    <xf numFmtId="0" fontId="74" fillId="0" borderId="0" xfId="82" applyFont="1" applyAlignment="1" applyProtection="1">
      <alignment horizontal="left" vertical="top"/>
      <protection locked="0"/>
    </xf>
    <xf numFmtId="43" fontId="23" fillId="20" borderId="0" xfId="9" applyFont="1" applyFill="1" applyBorder="1" applyAlignment="1" applyProtection="1">
      <alignment horizontal="right" vertical="top"/>
      <protection locked="0"/>
    </xf>
    <xf numFmtId="0" fontId="27" fillId="0" borderId="1" xfId="0" applyFont="1" applyBorder="1" applyAlignment="1" applyProtection="1">
      <alignment horizontal="left" vertical="center"/>
    </xf>
    <xf numFmtId="0" fontId="27" fillId="0" borderId="1" xfId="0" applyFont="1" applyBorder="1" applyAlignment="1" applyProtection="1">
      <alignment horizontal="center" vertical="center"/>
    </xf>
    <xf numFmtId="0" fontId="81" fillId="0" borderId="0" xfId="0" applyFont="1" applyProtection="1"/>
    <xf numFmtId="0" fontId="16" fillId="0" borderId="0" xfId="0" applyFont="1" applyProtection="1"/>
    <xf numFmtId="0" fontId="82" fillId="0" borderId="0" xfId="0" applyFont="1" applyProtection="1"/>
    <xf numFmtId="0" fontId="84" fillId="0" borderId="0" xfId="82" applyFont="1" applyProtection="1"/>
    <xf numFmtId="0" fontId="85" fillId="0" borderId="0" xfId="82" applyFont="1" applyAlignment="1" applyProtection="1">
      <alignment horizontal="left" vertical="top"/>
    </xf>
    <xf numFmtId="0" fontId="85" fillId="0" borderId="0" xfId="82" applyFont="1" applyProtection="1"/>
    <xf numFmtId="0" fontId="49" fillId="0" borderId="0" xfId="82" applyFont="1" applyProtection="1"/>
    <xf numFmtId="0" fontId="2" fillId="0" borderId="0" xfId="82" quotePrefix="1" applyFont="1" applyProtection="1"/>
    <xf numFmtId="0" fontId="19" fillId="0" borderId="0" xfId="13" applyFont="1" applyProtection="1"/>
    <xf numFmtId="0" fontId="41" fillId="0" borderId="0" xfId="82" applyFont="1" applyProtection="1"/>
    <xf numFmtId="0" fontId="74" fillId="0" borderId="0" xfId="82" applyFont="1" applyAlignment="1" applyProtection="1">
      <alignment horizontal="left" vertical="top"/>
    </xf>
    <xf numFmtId="0" fontId="1" fillId="0" borderId="0" xfId="82" applyFont="1" applyProtection="1">
      <protection locked="0"/>
    </xf>
    <xf numFmtId="165" fontId="50" fillId="0" borderId="0" xfId="0" quotePrefix="1" applyNumberFormat="1" applyFont="1"/>
    <xf numFmtId="43" fontId="48" fillId="3" borderId="14" xfId="9" applyFont="1" applyFill="1" applyBorder="1" applyAlignment="1" applyProtection="1">
      <alignment horizontal="right"/>
      <protection locked="0"/>
    </xf>
    <xf numFmtId="0" fontId="48" fillId="2" borderId="1" xfId="19" applyFont="1" applyFill="1" applyBorder="1" applyProtection="1">
      <protection locked="0"/>
    </xf>
    <xf numFmtId="0" fontId="23" fillId="6" borderId="0" xfId="0" applyFont="1" applyFill="1" applyBorder="1" applyAlignment="1" applyProtection="1">
      <alignment horizontal="left" vertical="top"/>
    </xf>
    <xf numFmtId="0" fontId="22" fillId="14" borderId="47" xfId="0" applyFont="1" applyFill="1" applyBorder="1" applyAlignment="1" applyProtection="1">
      <alignment horizontal="center"/>
      <protection locked="0"/>
    </xf>
    <xf numFmtId="0" fontId="22" fillId="14" borderId="48" xfId="0" applyFont="1" applyFill="1" applyBorder="1" applyAlignment="1" applyProtection="1">
      <alignment horizontal="center"/>
      <protection locked="0"/>
    </xf>
    <xf numFmtId="0" fontId="22" fillId="14" borderId="49" xfId="0" applyFont="1" applyFill="1" applyBorder="1" applyAlignment="1" applyProtection="1">
      <alignment horizontal="center"/>
      <protection locked="0"/>
    </xf>
    <xf numFmtId="0" fontId="46" fillId="5" borderId="2" xfId="0" applyFont="1" applyFill="1" applyBorder="1" applyAlignment="1" applyProtection="1">
      <alignment horizontal="center" vertical="top" wrapText="1"/>
    </xf>
    <xf numFmtId="0" fontId="46" fillId="5" borderId="0" xfId="0" applyFont="1" applyFill="1" applyBorder="1" applyAlignment="1" applyProtection="1">
      <alignment horizontal="center" vertical="top" wrapText="1"/>
    </xf>
    <xf numFmtId="0" fontId="46" fillId="5" borderId="1" xfId="0" applyFont="1" applyFill="1" applyBorder="1" applyAlignment="1" applyProtection="1">
      <alignment horizontal="center" vertical="top" wrapText="1"/>
    </xf>
    <xf numFmtId="0" fontId="48" fillId="5" borderId="0" xfId="0" applyFont="1" applyFill="1" applyBorder="1" applyAlignment="1" applyProtection="1">
      <alignment horizontal="center" vertical="top" wrapText="1"/>
    </xf>
    <xf numFmtId="0" fontId="48" fillId="5" borderId="1" xfId="0" applyFont="1" applyFill="1" applyBorder="1" applyAlignment="1" applyProtection="1">
      <alignment horizontal="center" vertical="top" wrapText="1"/>
    </xf>
    <xf numFmtId="165" fontId="37" fillId="26" borderId="3" xfId="9" applyNumberFormat="1" applyFont="1" applyFill="1" applyBorder="1" applyAlignment="1" applyProtection="1">
      <alignment horizontal="center" vertical="top"/>
      <protection locked="0"/>
    </xf>
    <xf numFmtId="165" fontId="37" fillId="26" borderId="0" xfId="9" applyNumberFormat="1" applyFont="1" applyFill="1" applyBorder="1" applyAlignment="1" applyProtection="1">
      <alignment horizontal="center" vertical="top"/>
      <protection locked="0"/>
    </xf>
    <xf numFmtId="165" fontId="66" fillId="27" borderId="0" xfId="9" applyNumberFormat="1" applyFont="1" applyFill="1" applyBorder="1" applyAlignment="1" applyProtection="1">
      <alignment horizontal="center" vertical="top"/>
      <protection locked="0"/>
    </xf>
    <xf numFmtId="165" fontId="66" fillId="27" borderId="4" xfId="9" applyNumberFormat="1" applyFont="1" applyFill="1" applyBorder="1" applyAlignment="1" applyProtection="1">
      <alignment horizontal="center" vertical="top"/>
      <protection locked="0"/>
    </xf>
    <xf numFmtId="165" fontId="37" fillId="0" borderId="3" xfId="9" applyNumberFormat="1" applyFont="1" applyFill="1" applyBorder="1" applyAlignment="1" applyProtection="1">
      <alignment horizontal="center" vertical="top"/>
      <protection locked="0"/>
    </xf>
    <xf numFmtId="165" fontId="37" fillId="0" borderId="0" xfId="9" applyNumberFormat="1" applyFont="1" applyFill="1" applyBorder="1" applyAlignment="1" applyProtection="1">
      <alignment horizontal="center" vertical="top"/>
      <protection locked="0"/>
    </xf>
    <xf numFmtId="0" fontId="22" fillId="0" borderId="0" xfId="0" applyFont="1" applyFill="1" applyBorder="1" applyAlignment="1" applyProtection="1">
      <alignment horizontal="left" vertical="top"/>
      <protection locked="0" hidden="1"/>
    </xf>
    <xf numFmtId="0" fontId="22" fillId="14" borderId="10" xfId="0" applyFont="1" applyFill="1" applyBorder="1" applyAlignment="1" applyProtection="1">
      <alignment horizontal="center"/>
    </xf>
    <xf numFmtId="0" fontId="22" fillId="14" borderId="2" xfId="0" applyFont="1" applyFill="1" applyBorder="1" applyAlignment="1" applyProtection="1">
      <alignment horizontal="center"/>
    </xf>
    <xf numFmtId="165" fontId="37" fillId="26" borderId="0" xfId="9" applyNumberFormat="1" applyFont="1" applyFill="1" applyBorder="1" applyAlignment="1" applyProtection="1">
      <alignment horizontal="center" vertical="top"/>
    </xf>
    <xf numFmtId="165" fontId="66" fillId="27" borderId="4" xfId="9" applyNumberFormat="1" applyFont="1" applyFill="1" applyBorder="1" applyAlignment="1" applyProtection="1">
      <alignment horizontal="center" vertical="top"/>
    </xf>
    <xf numFmtId="165" fontId="66" fillId="28" borderId="0" xfId="9" applyNumberFormat="1" applyFont="1" applyFill="1" applyBorder="1" applyAlignment="1" applyProtection="1">
      <alignment horizontal="center" vertical="top"/>
    </xf>
    <xf numFmtId="165" fontId="66" fillId="28" borderId="0" xfId="9" applyNumberFormat="1" applyFont="1" applyFill="1" applyBorder="1" applyAlignment="1" applyProtection="1">
      <alignment horizontal="center" vertical="center"/>
    </xf>
    <xf numFmtId="0" fontId="22" fillId="5" borderId="3" xfId="0" applyFont="1" applyFill="1" applyBorder="1" applyAlignment="1" applyProtection="1">
      <alignment horizontal="center" vertical="top" wrapText="1"/>
    </xf>
    <xf numFmtId="0" fontId="23" fillId="5" borderId="3" xfId="0" applyFont="1" applyFill="1" applyBorder="1" applyAlignment="1" applyProtection="1">
      <alignment horizontal="center" wrapText="1"/>
    </xf>
    <xf numFmtId="0" fontId="23" fillId="5" borderId="5" xfId="0" applyFont="1" applyFill="1" applyBorder="1" applyAlignment="1" applyProtection="1">
      <alignment horizontal="center" wrapText="1"/>
    </xf>
    <xf numFmtId="9" fontId="68" fillId="0" borderId="3" xfId="2" applyFont="1" applyBorder="1" applyAlignment="1" applyProtection="1">
      <alignment horizontal="center" vertical="top" wrapText="1"/>
      <protection locked="0"/>
    </xf>
    <xf numFmtId="9" fontId="68" fillId="0" borderId="0" xfId="2" applyFont="1" applyBorder="1" applyAlignment="1" applyProtection="1">
      <alignment horizontal="center" vertical="top" wrapText="1"/>
      <protection locked="0"/>
    </xf>
    <xf numFmtId="9" fontId="68" fillId="0" borderId="4" xfId="2" applyFont="1" applyBorder="1" applyAlignment="1" applyProtection="1">
      <alignment horizontal="center" vertical="top" wrapText="1"/>
      <protection locked="0"/>
    </xf>
    <xf numFmtId="165" fontId="22" fillId="5" borderId="11" xfId="14" applyNumberFormat="1" applyFont="1" applyFill="1" applyBorder="1" applyAlignment="1" applyProtection="1">
      <alignment horizontal="left" wrapText="1"/>
    </xf>
    <xf numFmtId="165" fontId="22" fillId="5" borderId="4" xfId="14" applyNumberFormat="1" applyFont="1" applyFill="1" applyBorder="1" applyAlignment="1" applyProtection="1">
      <alignment horizontal="left" wrapText="1"/>
    </xf>
    <xf numFmtId="165" fontId="22" fillId="5" borderId="67" xfId="14" applyNumberFormat="1" applyFont="1" applyFill="1" applyBorder="1" applyAlignment="1" applyProtection="1">
      <alignment horizontal="left" wrapText="1"/>
    </xf>
    <xf numFmtId="0" fontId="22" fillId="5" borderId="3" xfId="0" applyFont="1" applyFill="1" applyBorder="1" applyAlignment="1" applyProtection="1">
      <alignment horizontal="center" wrapText="1"/>
    </xf>
    <xf numFmtId="0" fontId="22" fillId="5" borderId="5" xfId="0" applyFont="1" applyFill="1" applyBorder="1" applyAlignment="1" applyProtection="1">
      <alignment horizontal="center" wrapText="1"/>
    </xf>
    <xf numFmtId="0" fontId="23" fillId="19" borderId="0" xfId="0" applyFont="1" applyFill="1" applyBorder="1" applyAlignment="1" applyProtection="1">
      <alignment horizontal="left" vertical="top"/>
    </xf>
    <xf numFmtId="0" fontId="23" fillId="14" borderId="0" xfId="0" applyFont="1" applyFill="1" applyAlignment="1" applyProtection="1">
      <alignment horizontal="center" vertical="top"/>
    </xf>
    <xf numFmtId="0" fontId="37" fillId="0" borderId="0" xfId="0" applyFont="1" applyFill="1" applyBorder="1" applyAlignment="1" applyProtection="1">
      <alignment horizontal="center"/>
    </xf>
    <xf numFmtId="0" fontId="23" fillId="19" borderId="0" xfId="0" applyFont="1" applyFill="1" applyBorder="1" applyAlignment="1" applyProtection="1">
      <alignment horizontal="left" vertical="top"/>
      <protection locked="0"/>
    </xf>
    <xf numFmtId="0" fontId="44" fillId="6" borderId="0" xfId="0" applyFont="1" applyFill="1" applyAlignment="1" applyProtection="1">
      <alignment horizontal="left" vertical="top" wrapText="1"/>
      <protection locked="0"/>
    </xf>
    <xf numFmtId="0" fontId="23" fillId="14" borderId="1" xfId="0" applyFont="1" applyFill="1" applyBorder="1" applyAlignment="1" applyProtection="1">
      <alignment horizontal="center" vertical="top"/>
    </xf>
    <xf numFmtId="0" fontId="22" fillId="5" borderId="0" xfId="0" applyFont="1" applyFill="1" applyBorder="1" applyAlignment="1" applyProtection="1">
      <alignment horizontal="center" vertical="top" wrapText="1"/>
    </xf>
    <xf numFmtId="0" fontId="22" fillId="5" borderId="0" xfId="0" applyFont="1" applyFill="1" applyBorder="1" applyAlignment="1" applyProtection="1">
      <alignment horizontal="left" vertical="top" wrapText="1"/>
      <protection locked="0"/>
    </xf>
    <xf numFmtId="0" fontId="22" fillId="5" borderId="1" xfId="0" applyFont="1" applyFill="1" applyBorder="1" applyAlignment="1" applyProtection="1">
      <alignment horizontal="left" vertical="top" wrapText="1"/>
      <protection locked="0"/>
    </xf>
    <xf numFmtId="0" fontId="22" fillId="5" borderId="10" xfId="0" applyFont="1" applyFill="1" applyBorder="1" applyAlignment="1" applyProtection="1">
      <alignment horizontal="center" vertical="top"/>
    </xf>
    <xf numFmtId="0" fontId="22" fillId="5" borderId="2" xfId="0" applyFont="1" applyFill="1" applyBorder="1" applyAlignment="1" applyProtection="1">
      <alignment horizontal="center" vertical="top"/>
    </xf>
    <xf numFmtId="0" fontId="22" fillId="5" borderId="11" xfId="0" applyFont="1" applyFill="1" applyBorder="1" applyAlignment="1" applyProtection="1">
      <alignment horizontal="center" vertical="top"/>
    </xf>
    <xf numFmtId="0" fontId="46" fillId="5" borderId="0" xfId="0" applyFont="1" applyFill="1" applyBorder="1" applyAlignment="1" applyProtection="1">
      <alignment horizontal="center" vertical="top" wrapText="1"/>
      <protection locked="0"/>
    </xf>
    <xf numFmtId="0" fontId="46" fillId="5" borderId="1" xfId="0" applyFont="1" applyFill="1" applyBorder="1" applyAlignment="1" applyProtection="1">
      <alignment horizontal="center" vertical="top" wrapText="1"/>
      <protection locked="0"/>
    </xf>
    <xf numFmtId="0" fontId="22" fillId="2" borderId="3" xfId="0" applyFont="1" applyFill="1" applyBorder="1" applyAlignment="1" applyProtection="1">
      <alignment horizontal="center" wrapText="1"/>
      <protection locked="0"/>
    </xf>
    <xf numFmtId="0" fontId="22" fillId="2" borderId="5" xfId="0" applyFont="1" applyFill="1" applyBorder="1" applyAlignment="1" applyProtection="1">
      <alignment horizontal="center" wrapText="1"/>
      <protection locked="0"/>
    </xf>
    <xf numFmtId="0" fontId="22" fillId="0" borderId="1" xfId="0" applyFont="1" applyBorder="1" applyAlignment="1" applyProtection="1">
      <alignment horizontal="left" vertical="top"/>
    </xf>
    <xf numFmtId="0" fontId="23" fillId="0" borderId="1" xfId="0" applyFont="1" applyBorder="1" applyAlignment="1" applyProtection="1">
      <alignment horizontal="left" vertical="top"/>
      <protection locked="0"/>
    </xf>
    <xf numFmtId="0" fontId="23" fillId="0" borderId="53" xfId="0" applyFont="1" applyBorder="1" applyAlignment="1" applyProtection="1">
      <alignment horizontal="left" vertical="top"/>
      <protection locked="0"/>
    </xf>
    <xf numFmtId="165" fontId="66" fillId="28" borderId="0" xfId="9" applyNumberFormat="1" applyFont="1" applyFill="1" applyBorder="1" applyAlignment="1" applyProtection="1">
      <alignment horizontal="center" vertical="center"/>
      <protection locked="0"/>
    </xf>
    <xf numFmtId="165" fontId="66" fillId="28" borderId="0" xfId="9" applyNumberFormat="1" applyFont="1" applyFill="1" applyBorder="1" applyAlignment="1" applyProtection="1">
      <alignment horizontal="center" vertical="top"/>
      <protection locked="0"/>
    </xf>
    <xf numFmtId="0" fontId="37" fillId="0" borderId="0" xfId="0" applyFont="1" applyFill="1" applyBorder="1" applyAlignment="1" applyProtection="1">
      <alignment horizontal="center"/>
      <protection hidden="1"/>
    </xf>
    <xf numFmtId="0" fontId="22" fillId="5" borderId="10" xfId="0" applyFont="1" applyFill="1" applyBorder="1" applyAlignment="1" applyProtection="1">
      <alignment horizontal="center"/>
      <protection locked="0"/>
    </xf>
    <xf numFmtId="0" fontId="22" fillId="5" borderId="2" xfId="0" applyFont="1" applyFill="1" applyBorder="1" applyAlignment="1" applyProtection="1">
      <alignment horizontal="center"/>
      <protection locked="0"/>
    </xf>
    <xf numFmtId="0" fontId="22" fillId="5" borderId="11" xfId="0" applyFont="1" applyFill="1" applyBorder="1" applyAlignment="1" applyProtection="1">
      <alignment horizontal="center"/>
      <protection locked="0"/>
    </xf>
    <xf numFmtId="0" fontId="22" fillId="5" borderId="10" xfId="0" applyFont="1" applyFill="1" applyBorder="1" applyAlignment="1" applyProtection="1">
      <alignment horizontal="center" vertical="top"/>
      <protection locked="0"/>
    </xf>
    <xf numFmtId="0" fontId="22" fillId="5" borderId="2" xfId="0" applyFont="1" applyFill="1" applyBorder="1" applyAlignment="1" applyProtection="1">
      <alignment horizontal="center" vertical="top"/>
      <protection locked="0"/>
    </xf>
    <xf numFmtId="0" fontId="22" fillId="5" borderId="11" xfId="0" applyFont="1" applyFill="1" applyBorder="1" applyAlignment="1" applyProtection="1">
      <alignment horizontal="center" vertical="top"/>
      <protection locked="0"/>
    </xf>
    <xf numFmtId="0" fontId="37" fillId="0" borderId="4" xfId="0" applyFont="1" applyFill="1" applyBorder="1" applyAlignment="1" applyProtection="1">
      <alignment horizontal="center"/>
      <protection hidden="1"/>
    </xf>
    <xf numFmtId="165" fontId="22" fillId="5" borderId="11" xfId="9" applyNumberFormat="1" applyFont="1" applyFill="1" applyBorder="1" applyAlignment="1" applyProtection="1">
      <alignment horizontal="center" vertical="top" wrapText="1"/>
      <protection locked="0"/>
    </xf>
    <xf numFmtId="165" fontId="22" fillId="5" borderId="4" xfId="9" applyNumberFormat="1" applyFont="1" applyFill="1" applyBorder="1" applyAlignment="1" applyProtection="1">
      <alignment horizontal="center" vertical="top" wrapText="1"/>
      <protection locked="0"/>
    </xf>
    <xf numFmtId="165" fontId="22" fillId="5" borderId="6" xfId="9" applyNumberFormat="1" applyFont="1" applyFill="1" applyBorder="1" applyAlignment="1" applyProtection="1">
      <alignment horizontal="center" vertical="top" wrapText="1"/>
      <protection locked="0"/>
    </xf>
    <xf numFmtId="0" fontId="22" fillId="5" borderId="5" xfId="0" applyFont="1" applyFill="1" applyBorder="1" applyAlignment="1" applyProtection="1">
      <alignment horizontal="center" vertical="top" wrapText="1"/>
    </xf>
    <xf numFmtId="165" fontId="22" fillId="2" borderId="3" xfId="9" applyNumberFormat="1" applyFont="1" applyFill="1" applyBorder="1" applyAlignment="1" applyProtection="1">
      <alignment horizontal="left" vertical="top" wrapText="1"/>
      <protection locked="0"/>
    </xf>
    <xf numFmtId="0" fontId="0" fillId="0" borderId="3" xfId="0" applyBorder="1" applyAlignment="1">
      <alignment horizontal="left" vertical="top" wrapText="1"/>
    </xf>
    <xf numFmtId="0" fontId="0" fillId="0" borderId="5" xfId="0" applyBorder="1" applyAlignment="1">
      <alignment horizontal="left" vertical="top" wrapText="1"/>
    </xf>
    <xf numFmtId="165" fontId="46" fillId="0" borderId="0" xfId="9" applyNumberFormat="1" applyFont="1" applyFill="1" applyBorder="1" applyAlignment="1" applyProtection="1">
      <alignment horizontal="center" vertical="top" wrapText="1"/>
      <protection locked="0"/>
    </xf>
    <xf numFmtId="165" fontId="46" fillId="5" borderId="2" xfId="9" applyNumberFormat="1" applyFont="1" applyFill="1" applyBorder="1" applyAlignment="1" applyProtection="1">
      <alignment horizontal="center" vertical="top" wrapText="1"/>
      <protection locked="0"/>
    </xf>
    <xf numFmtId="165" fontId="46" fillId="5" borderId="0" xfId="9" applyNumberFormat="1" applyFont="1" applyFill="1" applyBorder="1" applyAlignment="1" applyProtection="1">
      <alignment horizontal="center" vertical="top" wrapText="1"/>
      <protection locked="0"/>
    </xf>
    <xf numFmtId="165" fontId="46" fillId="5" borderId="1" xfId="9" applyNumberFormat="1" applyFont="1" applyFill="1" applyBorder="1" applyAlignment="1" applyProtection="1">
      <alignment horizontal="center" vertical="top" wrapText="1"/>
      <protection locked="0"/>
    </xf>
    <xf numFmtId="0" fontId="48" fillId="5" borderId="2" xfId="0" applyFont="1" applyFill="1" applyBorder="1" applyAlignment="1" applyProtection="1">
      <alignment horizontal="left" vertical="top" wrapText="1"/>
    </xf>
    <xf numFmtId="0" fontId="48" fillId="5" borderId="0" xfId="0" applyFont="1" applyFill="1" applyBorder="1" applyAlignment="1" applyProtection="1">
      <alignment horizontal="left" vertical="top" wrapText="1"/>
    </xf>
    <xf numFmtId="0" fontId="48" fillId="5" borderId="1" xfId="0" applyFont="1" applyFill="1" applyBorder="1" applyAlignment="1" applyProtection="1">
      <alignment horizontal="left" vertical="top" wrapText="1"/>
    </xf>
    <xf numFmtId="0" fontId="27" fillId="14" borderId="10" xfId="0" applyFont="1" applyFill="1" applyBorder="1" applyAlignment="1" applyProtection="1">
      <alignment horizontal="center" vertical="center"/>
    </xf>
    <xf numFmtId="0" fontId="27" fillId="14" borderId="2" xfId="0" applyFont="1" applyFill="1" applyBorder="1" applyAlignment="1" applyProtection="1">
      <alignment horizontal="center" vertical="center"/>
    </xf>
    <xf numFmtId="0" fontId="27" fillId="14" borderId="11" xfId="0" applyFont="1" applyFill="1" applyBorder="1" applyAlignment="1" applyProtection="1">
      <alignment horizontal="center" vertical="center"/>
    </xf>
    <xf numFmtId="0" fontId="23" fillId="19" borderId="1" xfId="0" applyFont="1" applyFill="1" applyBorder="1" applyAlignment="1" applyProtection="1">
      <alignment horizontal="center"/>
      <protection locked="0"/>
    </xf>
    <xf numFmtId="0" fontId="23" fillId="19" borderId="1" xfId="0" applyFont="1" applyFill="1" applyBorder="1" applyAlignment="1" applyProtection="1">
      <alignment horizontal="center" vertical="top"/>
      <protection locked="0"/>
    </xf>
    <xf numFmtId="0" fontId="22" fillId="19" borderId="50" xfId="0" applyFont="1" applyFill="1" applyBorder="1" applyAlignment="1" applyProtection="1">
      <alignment horizontal="center" vertical="top" wrapText="1"/>
      <protection locked="0"/>
    </xf>
    <xf numFmtId="0" fontId="22" fillId="19" borderId="46" xfId="0" applyFont="1" applyFill="1" applyBorder="1" applyAlignment="1" applyProtection="1">
      <alignment horizontal="center" vertical="top" wrapText="1"/>
      <protection locked="0"/>
    </xf>
    <xf numFmtId="0" fontId="22" fillId="19" borderId="45" xfId="0" applyFont="1" applyFill="1" applyBorder="1" applyAlignment="1" applyProtection="1">
      <alignment horizontal="center" vertical="top" wrapText="1"/>
      <protection locked="0"/>
    </xf>
    <xf numFmtId="0" fontId="53" fillId="2" borderId="0" xfId="19" applyFont="1" applyFill="1" applyAlignment="1" applyProtection="1">
      <alignment horizontal="left"/>
      <protection locked="0"/>
    </xf>
    <xf numFmtId="0" fontId="46" fillId="17" borderId="1" xfId="19" applyFont="1" applyFill="1" applyBorder="1" applyAlignment="1" applyProtection="1">
      <alignment horizontal="left" vertical="top" wrapText="1"/>
      <protection locked="0"/>
    </xf>
    <xf numFmtId="0" fontId="53" fillId="2" borderId="0" xfId="19" applyFont="1" applyFill="1" applyBorder="1" applyAlignment="1" applyProtection="1">
      <alignment horizontal="left"/>
      <protection locked="0"/>
    </xf>
    <xf numFmtId="0" fontId="69" fillId="12" borderId="0" xfId="19" applyFont="1" applyFill="1" applyAlignment="1" applyProtection="1">
      <alignment horizontal="center"/>
      <protection locked="0"/>
    </xf>
    <xf numFmtId="0" fontId="56" fillId="6" borderId="10" xfId="19" applyFont="1" applyFill="1" applyBorder="1" applyAlignment="1" applyProtection="1">
      <alignment horizontal="center" vertical="top"/>
      <protection locked="0"/>
    </xf>
    <xf numFmtId="0" fontId="56" fillId="6" borderId="2" xfId="19" applyFont="1" applyFill="1" applyBorder="1" applyAlignment="1" applyProtection="1">
      <alignment horizontal="center" vertical="top"/>
      <protection locked="0"/>
    </xf>
    <xf numFmtId="0" fontId="56" fillId="6" borderId="11" xfId="19" applyFont="1" applyFill="1" applyBorder="1" applyAlignment="1" applyProtection="1">
      <alignment horizontal="center" vertical="top"/>
      <protection locked="0"/>
    </xf>
    <xf numFmtId="0" fontId="52" fillId="8" borderId="0" xfId="19" applyFont="1" applyFill="1" applyAlignment="1" applyProtection="1">
      <alignment horizontal="center" vertical="center"/>
      <protection locked="0"/>
    </xf>
    <xf numFmtId="0" fontId="46" fillId="23" borderId="1" xfId="19" applyFont="1" applyFill="1" applyBorder="1" applyAlignment="1" applyProtection="1">
      <alignment horizontal="left" vertical="top" wrapText="1"/>
      <protection locked="0"/>
    </xf>
    <xf numFmtId="0" fontId="23" fillId="6" borderId="0" xfId="0" applyFont="1" applyFill="1" applyBorder="1" applyAlignment="1" applyProtection="1">
      <alignment horizontal="left" vertical="top"/>
      <protection locked="0"/>
    </xf>
    <xf numFmtId="9" fontId="22" fillId="0" borderId="0" xfId="2" applyFont="1" applyAlignment="1">
      <alignment horizontal="center"/>
    </xf>
    <xf numFmtId="0" fontId="22" fillId="0" borderId="0" xfId="0" applyFont="1" applyAlignment="1">
      <alignment horizontal="center"/>
    </xf>
    <xf numFmtId="0" fontId="22" fillId="14" borderId="10" xfId="0" applyFont="1" applyFill="1" applyBorder="1" applyAlignment="1" applyProtection="1">
      <alignment horizontal="center"/>
      <protection locked="0"/>
    </xf>
    <xf numFmtId="0" fontId="22" fillId="14" borderId="2" xfId="0" applyFont="1" applyFill="1" applyBorder="1" applyAlignment="1" applyProtection="1">
      <alignment horizontal="center"/>
      <protection locked="0"/>
    </xf>
    <xf numFmtId="0" fontId="22" fillId="14" borderId="11" xfId="0" applyFont="1" applyFill="1" applyBorder="1" applyAlignment="1" applyProtection="1">
      <alignment horizontal="center"/>
      <protection locked="0"/>
    </xf>
    <xf numFmtId="0" fontId="23" fillId="2" borderId="3" xfId="0" applyFont="1" applyFill="1" applyBorder="1" applyAlignment="1" applyProtection="1">
      <alignment horizontal="center" wrapText="1"/>
      <protection locked="0"/>
    </xf>
    <xf numFmtId="0" fontId="23" fillId="2" borderId="5" xfId="0" applyFont="1" applyFill="1" applyBorder="1" applyAlignment="1" applyProtection="1">
      <alignment horizontal="center" wrapText="1"/>
      <protection locked="0"/>
    </xf>
    <xf numFmtId="0" fontId="23" fillId="5" borderId="3" xfId="0" applyFont="1" applyFill="1" applyBorder="1" applyAlignment="1" applyProtection="1">
      <alignment horizontal="center" wrapText="1"/>
      <protection locked="0"/>
    </xf>
    <xf numFmtId="0" fontId="23" fillId="5" borderId="5" xfId="0" applyFont="1" applyFill="1" applyBorder="1" applyAlignment="1" applyProtection="1">
      <alignment horizontal="center" wrapText="1"/>
      <protection locked="0"/>
    </xf>
    <xf numFmtId="0" fontId="23" fillId="5" borderId="0" xfId="0" applyFont="1" applyFill="1" applyBorder="1" applyAlignment="1" applyProtection="1">
      <alignment horizontal="center" vertical="top" wrapText="1"/>
      <protection locked="0"/>
    </xf>
    <xf numFmtId="0" fontId="23" fillId="5" borderId="1" xfId="0" applyFont="1" applyFill="1" applyBorder="1" applyAlignment="1" applyProtection="1">
      <alignment horizontal="center" vertical="top" wrapText="1"/>
      <protection locked="0"/>
    </xf>
    <xf numFmtId="0" fontId="25" fillId="0" borderId="0" xfId="0" applyFont="1" applyBorder="1" applyAlignment="1" applyProtection="1">
      <alignment horizontal="center"/>
      <protection locked="0"/>
    </xf>
    <xf numFmtId="0" fontId="22" fillId="0" borderId="50" xfId="0" quotePrefix="1" applyFont="1" applyBorder="1" applyAlignment="1" applyProtection="1">
      <alignment horizontal="left" vertical="top"/>
      <protection locked="0"/>
    </xf>
    <xf numFmtId="0" fontId="22" fillId="0" borderId="46" xfId="0" quotePrefix="1" applyFont="1" applyBorder="1" applyAlignment="1" applyProtection="1">
      <alignment horizontal="left" vertical="top"/>
      <protection locked="0"/>
    </xf>
    <xf numFmtId="0" fontId="22" fillId="0" borderId="45" xfId="0" quotePrefix="1" applyFont="1" applyBorder="1" applyAlignment="1" applyProtection="1">
      <alignment horizontal="left" vertical="top"/>
      <protection locked="0"/>
    </xf>
    <xf numFmtId="0" fontId="22" fillId="0" borderId="2" xfId="0" applyFont="1" applyFill="1" applyBorder="1" applyAlignment="1" applyProtection="1">
      <alignment horizontal="left" vertical="top"/>
      <protection locked="0" hidden="1"/>
    </xf>
    <xf numFmtId="0" fontId="23" fillId="14" borderId="0" xfId="0" applyFont="1" applyFill="1" applyAlignment="1" applyProtection="1">
      <alignment horizontal="center" vertical="top"/>
      <protection locked="0"/>
    </xf>
    <xf numFmtId="0" fontId="23" fillId="14" borderId="1" xfId="0" applyFont="1" applyFill="1" applyBorder="1" applyAlignment="1" applyProtection="1">
      <alignment horizontal="center" vertical="top"/>
      <protection locked="0"/>
    </xf>
    <xf numFmtId="37" fontId="24" fillId="14" borderId="46" xfId="9" applyNumberFormat="1" applyFont="1" applyFill="1" applyBorder="1" applyAlignment="1" applyProtection="1">
      <alignment horizontal="right"/>
      <protection locked="0"/>
    </xf>
    <xf numFmtId="37" fontId="24" fillId="14" borderId="45" xfId="9" applyNumberFormat="1" applyFont="1" applyFill="1" applyBorder="1" applyAlignment="1" applyProtection="1">
      <alignment horizontal="right"/>
      <protection locked="0"/>
    </xf>
    <xf numFmtId="37" fontId="24" fillId="14" borderId="46" xfId="9" applyNumberFormat="1" applyFont="1" applyFill="1" applyBorder="1" applyAlignment="1" applyProtection="1">
      <alignment horizontal="right" vertical="top"/>
      <protection locked="0"/>
    </xf>
    <xf numFmtId="37" fontId="24" fillId="14" borderId="45" xfId="9" applyNumberFormat="1" applyFont="1" applyFill="1" applyBorder="1" applyAlignment="1" applyProtection="1">
      <alignment horizontal="right" vertical="top"/>
      <protection locked="0"/>
    </xf>
    <xf numFmtId="0" fontId="22" fillId="5" borderId="10" xfId="0" applyFont="1" applyFill="1" applyBorder="1" applyAlignment="1">
      <alignment horizontal="center"/>
    </xf>
    <xf numFmtId="0" fontId="22" fillId="5" borderId="2" xfId="0" applyFont="1" applyFill="1" applyBorder="1" applyAlignment="1">
      <alignment horizontal="center"/>
    </xf>
    <xf numFmtId="0" fontId="22" fillId="5" borderId="11" xfId="0" applyFont="1" applyFill="1" applyBorder="1" applyAlignment="1">
      <alignment horizontal="center"/>
    </xf>
    <xf numFmtId="0" fontId="22" fillId="5" borderId="10" xfId="0" applyFont="1" applyFill="1" applyBorder="1" applyAlignment="1">
      <alignment horizontal="center" vertical="top"/>
    </xf>
    <xf numFmtId="0" fontId="22" fillId="5" borderId="2" xfId="0" applyFont="1" applyFill="1" applyBorder="1" applyAlignment="1">
      <alignment horizontal="center" vertical="top"/>
    </xf>
    <xf numFmtId="0" fontId="22" fillId="5" borderId="11" xfId="0" applyFont="1" applyFill="1" applyBorder="1" applyAlignment="1">
      <alignment horizontal="center" vertical="top"/>
    </xf>
    <xf numFmtId="0" fontId="46" fillId="5" borderId="0" xfId="0" applyFont="1" applyFill="1" applyBorder="1" applyAlignment="1">
      <alignment horizontal="center" vertical="top" wrapText="1"/>
    </xf>
    <xf numFmtId="0" fontId="46" fillId="5" borderId="1" xfId="0" applyFont="1" applyFill="1" applyBorder="1" applyAlignment="1">
      <alignment horizontal="center" vertical="top" wrapText="1"/>
    </xf>
    <xf numFmtId="0" fontId="23" fillId="0" borderId="0" xfId="0" applyFont="1" applyBorder="1" applyAlignment="1" applyProtection="1">
      <alignment horizontal="left" vertical="top"/>
      <protection locked="0"/>
    </xf>
    <xf numFmtId="0" fontId="23" fillId="0" borderId="21" xfId="0" applyFont="1" applyBorder="1" applyAlignment="1" applyProtection="1">
      <alignment horizontal="left" vertical="top"/>
      <protection locked="0"/>
    </xf>
    <xf numFmtId="9" fontId="22" fillId="0" borderId="0" xfId="2" applyFont="1" applyAlignment="1" applyProtection="1">
      <alignment horizontal="center"/>
      <protection locked="0"/>
    </xf>
    <xf numFmtId="0" fontId="22" fillId="0" borderId="0" xfId="0" applyFont="1" applyAlignment="1" applyProtection="1">
      <alignment horizontal="center"/>
      <protection locked="0"/>
    </xf>
    <xf numFmtId="0" fontId="27" fillId="14" borderId="10" xfId="0" applyFont="1" applyFill="1" applyBorder="1" applyAlignment="1" applyProtection="1">
      <alignment horizontal="center" vertical="center"/>
      <protection locked="0"/>
    </xf>
    <xf numFmtId="0" fontId="27" fillId="14" borderId="2" xfId="0" applyFont="1" applyFill="1" applyBorder="1" applyAlignment="1" applyProtection="1">
      <alignment horizontal="center" vertical="center"/>
      <protection locked="0"/>
    </xf>
    <xf numFmtId="0" fontId="27" fillId="14" borderId="11" xfId="0" applyFont="1" applyFill="1" applyBorder="1" applyAlignment="1" applyProtection="1">
      <alignment horizontal="center" vertical="center"/>
      <protection locked="0"/>
    </xf>
    <xf numFmtId="165" fontId="23" fillId="0" borderId="0" xfId="9" applyNumberFormat="1" applyFont="1" applyAlignment="1" applyProtection="1">
      <alignment horizontal="right"/>
      <protection locked="0"/>
    </xf>
    <xf numFmtId="165" fontId="23" fillId="0" borderId="0" xfId="9" applyNumberFormat="1" applyFont="1" applyAlignment="1">
      <alignment horizontal="right"/>
    </xf>
    <xf numFmtId="165" fontId="22" fillId="0" borderId="0" xfId="9" applyNumberFormat="1" applyFont="1" applyAlignment="1" applyProtection="1">
      <alignment horizontal="right"/>
      <protection locked="0"/>
    </xf>
    <xf numFmtId="0" fontId="22" fillId="0" borderId="10" xfId="0" applyFont="1" applyBorder="1" applyAlignment="1">
      <alignment horizontal="right"/>
    </xf>
    <xf numFmtId="165" fontId="22" fillId="5" borderId="2" xfId="14" applyNumberFormat="1" applyFont="1" applyFill="1" applyBorder="1" applyAlignment="1" applyProtection="1">
      <alignment horizontal="right" wrapText="1"/>
    </xf>
    <xf numFmtId="0" fontId="22" fillId="5" borderId="3" xfId="0" applyFont="1" applyFill="1" applyBorder="1" applyAlignment="1" applyProtection="1">
      <alignment horizontal="right" wrapText="1"/>
    </xf>
    <xf numFmtId="165" fontId="22" fillId="5" borderId="0" xfId="14" applyNumberFormat="1" applyFont="1" applyFill="1" applyBorder="1" applyAlignment="1" applyProtection="1">
      <alignment horizontal="right" wrapText="1"/>
    </xf>
    <xf numFmtId="165" fontId="22" fillId="5" borderId="1" xfId="14" applyNumberFormat="1" applyFont="1" applyFill="1" applyBorder="1" applyAlignment="1" applyProtection="1">
      <alignment horizontal="right" wrapText="1"/>
    </xf>
    <xf numFmtId="0" fontId="23" fillId="33" borderId="3" xfId="0" applyNumberFormat="1" applyFont="1" applyFill="1" applyBorder="1" applyAlignment="1" applyProtection="1">
      <alignment horizontal="right"/>
      <protection locked="0"/>
    </xf>
    <xf numFmtId="165" fontId="22" fillId="3" borderId="13" xfId="9" applyNumberFormat="1" applyFont="1" applyFill="1" applyBorder="1" applyAlignment="1" applyProtection="1">
      <alignment horizontal="right"/>
      <protection locked="0"/>
    </xf>
    <xf numFmtId="0" fontId="23" fillId="33" borderId="5" xfId="0" applyNumberFormat="1" applyFont="1" applyFill="1" applyBorder="1" applyAlignment="1" applyProtection="1">
      <alignment horizontal="right"/>
      <protection locked="0"/>
    </xf>
    <xf numFmtId="165" fontId="22" fillId="3" borderId="36" xfId="9" applyNumberFormat="1" applyFont="1" applyFill="1" applyBorder="1" applyAlignment="1" applyProtection="1">
      <alignment horizontal="right"/>
      <protection locked="0"/>
    </xf>
    <xf numFmtId="43" fontId="23" fillId="0" borderId="3" xfId="9" applyFont="1" applyBorder="1" applyAlignment="1" applyProtection="1">
      <alignment horizontal="right"/>
      <protection locked="0"/>
    </xf>
    <xf numFmtId="165" fontId="23" fillId="0" borderId="0" xfId="9" applyNumberFormat="1" applyFont="1" applyBorder="1" applyAlignment="1" applyProtection="1">
      <alignment horizontal="right"/>
      <protection locked="0"/>
    </xf>
    <xf numFmtId="43" fontId="23" fillId="0" borderId="0" xfId="9" applyFont="1" applyAlignment="1" applyProtection="1">
      <alignment horizontal="right"/>
      <protection locked="0"/>
    </xf>
    <xf numFmtId="0" fontId="24" fillId="0" borderId="0" xfId="0" applyFont="1" applyAlignment="1" applyProtection="1">
      <alignment horizontal="right"/>
      <protection locked="0"/>
    </xf>
    <xf numFmtId="43" fontId="23" fillId="0" borderId="0" xfId="9" applyFont="1" applyFill="1" applyAlignment="1" applyProtection="1">
      <alignment horizontal="right"/>
      <protection locked="0"/>
    </xf>
    <xf numFmtId="165" fontId="23" fillId="0" borderId="0" xfId="9" applyNumberFormat="1" applyFont="1" applyFill="1" applyAlignment="1" applyProtection="1">
      <alignment horizontal="right"/>
      <protection locked="0"/>
    </xf>
    <xf numFmtId="43" fontId="22" fillId="0" borderId="0" xfId="9" applyFont="1" applyFill="1" applyAlignment="1" applyProtection="1">
      <alignment horizontal="right"/>
      <protection locked="0"/>
    </xf>
    <xf numFmtId="165" fontId="22" fillId="0" borderId="0" xfId="9" applyNumberFormat="1" applyFont="1" applyFill="1" applyAlignment="1" applyProtection="1">
      <alignment horizontal="right"/>
      <protection locked="0"/>
    </xf>
    <xf numFmtId="0" fontId="23" fillId="2" borderId="0" xfId="0" applyFont="1" applyFill="1" applyAlignment="1" applyProtection="1">
      <alignment horizontal="right"/>
      <protection locked="0"/>
    </xf>
    <xf numFmtId="165" fontId="23" fillId="2" borderId="0" xfId="9" applyNumberFormat="1" applyFont="1" applyFill="1" applyAlignment="1" applyProtection="1">
      <alignment horizontal="right"/>
      <protection locked="0"/>
    </xf>
    <xf numFmtId="0" fontId="23" fillId="0" borderId="0" xfId="0" applyFont="1" applyFill="1" applyBorder="1" applyAlignment="1" applyProtection="1">
      <alignment horizontal="right"/>
      <protection locked="0"/>
    </xf>
    <xf numFmtId="165" fontId="23" fillId="0" borderId="0" xfId="9" applyNumberFormat="1" applyFont="1" applyFill="1" applyBorder="1" applyAlignment="1" applyProtection="1">
      <alignment horizontal="right"/>
      <protection locked="0"/>
    </xf>
    <xf numFmtId="165" fontId="23" fillId="0" borderId="0" xfId="9" applyNumberFormat="1" applyFont="1" applyFill="1" applyAlignment="1">
      <alignment horizontal="right"/>
    </xf>
  </cellXfs>
  <cellStyles count="85">
    <cellStyle name="Comma" xfId="9" builtinId="3"/>
    <cellStyle name="Comma 2" xfId="3"/>
    <cellStyle name="Comma 2 2" xfId="14"/>
    <cellStyle name="Comma 3" xfId="11"/>
    <cellStyle name="Comma 4" xfId="21"/>
    <cellStyle name="Comma 4 2" xfId="31"/>
    <cellStyle name="Comma 5" xfId="76"/>
    <cellStyle name="Comma 6" xfId="80"/>
    <cellStyle name="Comma 6 2" xfId="83"/>
    <cellStyle name="Currency" xfId="1" builtinId="4"/>
    <cellStyle name="Currency 2 2" xfId="6"/>
    <cellStyle name="Currency 2 2 2" xfId="15"/>
    <cellStyle name="Followed Hyperlink" xfId="8"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Hyperlink" xfId="7" builtinId="8" hidden="1"/>
    <cellStyle name="Hyperlink" xfId="10" builtinId="8"/>
    <cellStyle name="Hyperlink 2" xfId="13"/>
    <cellStyle name="Hyperlink 3" xfId="22"/>
    <cellStyle name="Normal" xfId="0" builtinId="0"/>
    <cellStyle name="Normal 2" xfId="5"/>
    <cellStyle name="Normal 2 2" xfId="16"/>
    <cellStyle name="Normal 2 2 2" xfId="33"/>
    <cellStyle name="Normal 2 2 3" xfId="72"/>
    <cellStyle name="Normal 2 3" xfId="17"/>
    <cellStyle name="Normal 2 3 2" xfId="34"/>
    <cellStyle name="Normal 2 3 3" xfId="73"/>
    <cellStyle name="Normal 2 4" xfId="23"/>
    <cellStyle name="Normal 2 4 2" xfId="35"/>
    <cellStyle name="Normal 2 5" xfId="32"/>
    <cellStyle name="Normal 2 6" xfId="71"/>
    <cellStyle name="Normal 3" xfId="12"/>
    <cellStyle name="Normal 4" xfId="19"/>
    <cellStyle name="Normal 4 2" xfId="36"/>
    <cellStyle name="Normal 5" xfId="74"/>
    <cellStyle name="Normal 6" xfId="77"/>
    <cellStyle name="Normal 7" xfId="79"/>
    <cellStyle name="Normal 7 2" xfId="82"/>
    <cellStyle name="Percent" xfId="2" builtinId="5"/>
    <cellStyle name="Percent 2" xfId="4"/>
    <cellStyle name="Percent 2 2" xfId="18"/>
    <cellStyle name="Percent 3" xfId="20"/>
    <cellStyle name="Percent 3 2" xfId="37"/>
    <cellStyle name="Percent 4" xfId="75"/>
    <cellStyle name="Percent 5" xfId="78"/>
    <cellStyle name="Percent 6" xfId="81"/>
    <cellStyle name="Percent 6 2" xfId="84"/>
  </cellStyles>
  <dxfs count="0"/>
  <tableStyles count="0" defaultTableStyle="TableStyleMedium9" defaultPivotStyle="PivotStyleLight16"/>
  <colors>
    <mruColors>
      <color rgb="FFFFFF8B"/>
      <color rgb="FF00C057"/>
      <color rgb="FFFF99CC"/>
      <color rgb="FFFF3399"/>
      <color rgb="FF0CA429"/>
      <color rgb="FFFFFF66"/>
      <color rgb="FF00C85A"/>
      <color rgb="FFFFFF93"/>
      <color rgb="FF81FFBA"/>
      <color rgb="FF10DE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1052945</xdr:colOff>
      <xdr:row>188</xdr:row>
      <xdr:rowOff>96982</xdr:rowOff>
    </xdr:from>
    <xdr:to>
      <xdr:col>15</xdr:col>
      <xdr:colOff>215900</xdr:colOff>
      <xdr:row>188</xdr:row>
      <xdr:rowOff>101600</xdr:rowOff>
    </xdr:to>
    <xdr:cxnSp macro="">
      <xdr:nvCxnSpPr>
        <xdr:cNvPr id="5" name="Straight Connector 4"/>
        <xdr:cNvCxnSpPr/>
      </xdr:nvCxnSpPr>
      <xdr:spPr>
        <a:xfrm>
          <a:off x="7827818" y="26850109"/>
          <a:ext cx="3956627" cy="4618"/>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200891</xdr:colOff>
      <xdr:row>25</xdr:row>
      <xdr:rowOff>26555</xdr:rowOff>
    </xdr:from>
    <xdr:to>
      <xdr:col>15</xdr:col>
      <xdr:colOff>228600</xdr:colOff>
      <xdr:row>188</xdr:row>
      <xdr:rowOff>103909</xdr:rowOff>
    </xdr:to>
    <xdr:cxnSp macro="">
      <xdr:nvCxnSpPr>
        <xdr:cNvPr id="7" name="Straight Connector 6"/>
        <xdr:cNvCxnSpPr/>
      </xdr:nvCxnSpPr>
      <xdr:spPr>
        <a:xfrm flipV="1">
          <a:off x="11783291" y="5173519"/>
          <a:ext cx="27709" cy="21925972"/>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1032163</xdr:colOff>
      <xdr:row>250</xdr:row>
      <xdr:rowOff>76200</xdr:rowOff>
    </xdr:from>
    <xdr:to>
      <xdr:col>19</xdr:col>
      <xdr:colOff>309418</xdr:colOff>
      <xdr:row>250</xdr:row>
      <xdr:rowOff>76202</xdr:rowOff>
    </xdr:to>
    <xdr:cxnSp macro="">
      <xdr:nvCxnSpPr>
        <xdr:cNvPr id="11" name="Straight Connector 10"/>
        <xdr:cNvCxnSpPr/>
      </xdr:nvCxnSpPr>
      <xdr:spPr>
        <a:xfrm>
          <a:off x="11409218" y="31664564"/>
          <a:ext cx="1874982" cy="2"/>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279400</xdr:colOff>
      <xdr:row>25</xdr:row>
      <xdr:rowOff>0</xdr:rowOff>
    </xdr:from>
    <xdr:to>
      <xdr:col>24</xdr:col>
      <xdr:colOff>292100</xdr:colOff>
      <xdr:row>250</xdr:row>
      <xdr:rowOff>88900</xdr:rowOff>
    </xdr:to>
    <xdr:cxnSp macro="">
      <xdr:nvCxnSpPr>
        <xdr:cNvPr id="15" name="Straight Connector 14"/>
        <xdr:cNvCxnSpPr/>
      </xdr:nvCxnSpPr>
      <xdr:spPr>
        <a:xfrm flipV="1">
          <a:off x="15163800" y="5867400"/>
          <a:ext cx="12700" cy="345821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296719</xdr:colOff>
      <xdr:row>24</xdr:row>
      <xdr:rowOff>165100</xdr:rowOff>
    </xdr:from>
    <xdr:to>
      <xdr:col>19</xdr:col>
      <xdr:colOff>322119</xdr:colOff>
      <xdr:row>250</xdr:row>
      <xdr:rowOff>63500</xdr:rowOff>
    </xdr:to>
    <xdr:cxnSp macro="">
      <xdr:nvCxnSpPr>
        <xdr:cNvPr id="25" name="Straight Connector 24"/>
        <xdr:cNvCxnSpPr/>
      </xdr:nvCxnSpPr>
      <xdr:spPr>
        <a:xfrm flipH="1" flipV="1">
          <a:off x="13271501" y="5131955"/>
          <a:ext cx="25400" cy="26519909"/>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889000</xdr:colOff>
      <xdr:row>203</xdr:row>
      <xdr:rowOff>88900</xdr:rowOff>
    </xdr:from>
    <xdr:to>
      <xdr:col>29</xdr:col>
      <xdr:colOff>457200</xdr:colOff>
      <xdr:row>203</xdr:row>
      <xdr:rowOff>101600</xdr:rowOff>
    </xdr:to>
    <xdr:cxnSp macro="">
      <xdr:nvCxnSpPr>
        <xdr:cNvPr id="12" name="Straight Connector 11"/>
        <xdr:cNvCxnSpPr/>
      </xdr:nvCxnSpPr>
      <xdr:spPr>
        <a:xfrm flipV="1">
          <a:off x="889000" y="33235900"/>
          <a:ext cx="17221200"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469900</xdr:colOff>
      <xdr:row>73</xdr:row>
      <xdr:rowOff>190500</xdr:rowOff>
    </xdr:from>
    <xdr:to>
      <xdr:col>29</xdr:col>
      <xdr:colOff>469900</xdr:colOff>
      <xdr:row>253</xdr:row>
      <xdr:rowOff>0</xdr:rowOff>
    </xdr:to>
    <xdr:cxnSp macro="">
      <xdr:nvCxnSpPr>
        <xdr:cNvPr id="16" name="Straight Connector 15"/>
        <xdr:cNvCxnSpPr/>
      </xdr:nvCxnSpPr>
      <xdr:spPr>
        <a:xfrm flipV="1">
          <a:off x="17691100" y="15494000"/>
          <a:ext cx="0" cy="249936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381000</xdr:colOff>
      <xdr:row>73</xdr:row>
      <xdr:rowOff>152400</xdr:rowOff>
    </xdr:from>
    <xdr:to>
      <xdr:col>33</xdr:col>
      <xdr:colOff>393700</xdr:colOff>
      <xdr:row>253</xdr:row>
      <xdr:rowOff>0</xdr:rowOff>
    </xdr:to>
    <xdr:cxnSp macro="">
      <xdr:nvCxnSpPr>
        <xdr:cNvPr id="21" name="Straight Connector 20"/>
        <xdr:cNvCxnSpPr/>
      </xdr:nvCxnSpPr>
      <xdr:spPr>
        <a:xfrm flipV="1">
          <a:off x="19977100" y="15455900"/>
          <a:ext cx="12700" cy="250952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457200</xdr:colOff>
      <xdr:row>203</xdr:row>
      <xdr:rowOff>101600</xdr:rowOff>
    </xdr:from>
    <xdr:to>
      <xdr:col>33</xdr:col>
      <xdr:colOff>393700</xdr:colOff>
      <xdr:row>203</xdr:row>
      <xdr:rowOff>127000</xdr:rowOff>
    </xdr:to>
    <xdr:cxnSp macro="">
      <xdr:nvCxnSpPr>
        <xdr:cNvPr id="18" name="Straight Connector 17"/>
        <xdr:cNvCxnSpPr/>
      </xdr:nvCxnSpPr>
      <xdr:spPr>
        <a:xfrm>
          <a:off x="17678400" y="40500300"/>
          <a:ext cx="2311400"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374073</xdr:colOff>
      <xdr:row>24</xdr:row>
      <xdr:rowOff>178956</xdr:rowOff>
    </xdr:from>
    <xdr:to>
      <xdr:col>16</xdr:col>
      <xdr:colOff>374074</xdr:colOff>
      <xdr:row>25</xdr:row>
      <xdr:rowOff>200891</xdr:rowOff>
    </xdr:to>
    <xdr:cxnSp macro="">
      <xdr:nvCxnSpPr>
        <xdr:cNvPr id="14" name="Straight Connector 13"/>
        <xdr:cNvCxnSpPr/>
      </xdr:nvCxnSpPr>
      <xdr:spPr>
        <a:xfrm flipV="1">
          <a:off x="14955982" y="5693065"/>
          <a:ext cx="1" cy="202044"/>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242456</xdr:colOff>
      <xdr:row>26</xdr:row>
      <xdr:rowOff>1</xdr:rowOff>
    </xdr:from>
    <xdr:to>
      <xdr:col>16</xdr:col>
      <xdr:colOff>374073</xdr:colOff>
      <xdr:row>26</xdr:row>
      <xdr:rowOff>6928</xdr:rowOff>
    </xdr:to>
    <xdr:cxnSp macro="">
      <xdr:nvCxnSpPr>
        <xdr:cNvPr id="23" name="Straight Connector 22"/>
        <xdr:cNvCxnSpPr/>
      </xdr:nvCxnSpPr>
      <xdr:spPr>
        <a:xfrm>
          <a:off x="14381020" y="5902037"/>
          <a:ext cx="574962" cy="6927"/>
        </a:xfrm>
        <a:prstGeom prst="line">
          <a:avLst/>
        </a:prstGeom>
        <a:ln>
          <a:solidFill>
            <a:sysClr val="windowText" lastClr="00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1136073</xdr:colOff>
      <xdr:row>95</xdr:row>
      <xdr:rowOff>180111</xdr:rowOff>
    </xdr:from>
    <xdr:to>
      <xdr:col>4</xdr:col>
      <xdr:colOff>221674</xdr:colOff>
      <xdr:row>97</xdr:row>
      <xdr:rowOff>48493</xdr:rowOff>
    </xdr:to>
    <xdr:sp macro="" textlink="">
      <xdr:nvSpPr>
        <xdr:cNvPr id="2" name="Multiply 1"/>
        <xdr:cNvSpPr/>
      </xdr:nvSpPr>
      <xdr:spPr>
        <a:xfrm>
          <a:off x="3886200" y="16944111"/>
          <a:ext cx="256310" cy="284018"/>
        </a:xfrm>
        <a:prstGeom prst="mathMultiply">
          <a:avLst/>
        </a:prstGeom>
        <a:solidFill>
          <a:schemeClr val="tx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436419</xdr:colOff>
      <xdr:row>96</xdr:row>
      <xdr:rowOff>55423</xdr:rowOff>
    </xdr:from>
    <xdr:to>
      <xdr:col>12</xdr:col>
      <xdr:colOff>649779</xdr:colOff>
      <xdr:row>96</xdr:row>
      <xdr:rowOff>55423</xdr:rowOff>
    </xdr:to>
    <xdr:cxnSp macro="">
      <xdr:nvCxnSpPr>
        <xdr:cNvPr id="17" name="Straight Connector 16"/>
        <xdr:cNvCxnSpPr/>
      </xdr:nvCxnSpPr>
      <xdr:spPr>
        <a:xfrm>
          <a:off x="7959437" y="16951041"/>
          <a:ext cx="213360"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436419</xdr:colOff>
      <xdr:row>96</xdr:row>
      <xdr:rowOff>139243</xdr:rowOff>
    </xdr:from>
    <xdr:to>
      <xdr:col>12</xdr:col>
      <xdr:colOff>649779</xdr:colOff>
      <xdr:row>96</xdr:row>
      <xdr:rowOff>139243</xdr:rowOff>
    </xdr:to>
    <xdr:cxnSp macro="">
      <xdr:nvCxnSpPr>
        <xdr:cNvPr id="19" name="Straight Connector 18"/>
        <xdr:cNvCxnSpPr/>
      </xdr:nvCxnSpPr>
      <xdr:spPr>
        <a:xfrm>
          <a:off x="7959437" y="17034861"/>
          <a:ext cx="213360"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450268</xdr:colOff>
      <xdr:row>24</xdr:row>
      <xdr:rowOff>165095</xdr:rowOff>
    </xdr:from>
    <xdr:to>
      <xdr:col>22</xdr:col>
      <xdr:colOff>450268</xdr:colOff>
      <xdr:row>25</xdr:row>
      <xdr:rowOff>187030</xdr:rowOff>
    </xdr:to>
    <xdr:cxnSp macro="">
      <xdr:nvCxnSpPr>
        <xdr:cNvPr id="22" name="Straight Connector 21"/>
        <xdr:cNvCxnSpPr/>
      </xdr:nvCxnSpPr>
      <xdr:spPr>
        <a:xfrm flipV="1">
          <a:off x="13951523" y="5131950"/>
          <a:ext cx="0" cy="202044"/>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304795</xdr:colOff>
      <xdr:row>25</xdr:row>
      <xdr:rowOff>193958</xdr:rowOff>
    </xdr:from>
    <xdr:to>
      <xdr:col>22</xdr:col>
      <xdr:colOff>450268</xdr:colOff>
      <xdr:row>25</xdr:row>
      <xdr:rowOff>200885</xdr:rowOff>
    </xdr:to>
    <xdr:cxnSp macro="">
      <xdr:nvCxnSpPr>
        <xdr:cNvPr id="24" name="Straight Connector 23"/>
        <xdr:cNvCxnSpPr/>
      </xdr:nvCxnSpPr>
      <xdr:spPr>
        <a:xfrm>
          <a:off x="13279577" y="5340922"/>
          <a:ext cx="671946" cy="6927"/>
        </a:xfrm>
        <a:prstGeom prst="line">
          <a:avLst/>
        </a:prstGeom>
        <a:ln>
          <a:solidFill>
            <a:sysClr val="windowText" lastClr="00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12700</xdr:colOff>
      <xdr:row>253</xdr:row>
      <xdr:rowOff>76200</xdr:rowOff>
    </xdr:from>
    <xdr:to>
      <xdr:col>13</xdr:col>
      <xdr:colOff>444500</xdr:colOff>
      <xdr:row>253</xdr:row>
      <xdr:rowOff>101600</xdr:rowOff>
    </xdr:to>
    <xdr:cxnSp macro="">
      <xdr:nvCxnSpPr>
        <xdr:cNvPr id="2" name="Straight Connector 1"/>
        <xdr:cNvCxnSpPr/>
      </xdr:nvCxnSpPr>
      <xdr:spPr>
        <a:xfrm flipV="1">
          <a:off x="6632575" y="40024050"/>
          <a:ext cx="6213475"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309034</xdr:colOff>
      <xdr:row>27</xdr:row>
      <xdr:rowOff>148168</xdr:rowOff>
    </xdr:from>
    <xdr:to>
      <xdr:col>13</xdr:col>
      <xdr:colOff>440266</xdr:colOff>
      <xdr:row>253</xdr:row>
      <xdr:rowOff>101600</xdr:rowOff>
    </xdr:to>
    <xdr:cxnSp macro="">
      <xdr:nvCxnSpPr>
        <xdr:cNvPr id="3" name="Straight Connector 2"/>
        <xdr:cNvCxnSpPr/>
      </xdr:nvCxnSpPr>
      <xdr:spPr>
        <a:xfrm flipH="1" flipV="1">
          <a:off x="12710584" y="5720293"/>
          <a:ext cx="131232" cy="34329157"/>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660400</xdr:colOff>
      <xdr:row>261</xdr:row>
      <xdr:rowOff>88900</xdr:rowOff>
    </xdr:from>
    <xdr:to>
      <xdr:col>17</xdr:col>
      <xdr:colOff>330200</xdr:colOff>
      <xdr:row>261</xdr:row>
      <xdr:rowOff>101600</xdr:rowOff>
    </xdr:to>
    <xdr:cxnSp macro="">
      <xdr:nvCxnSpPr>
        <xdr:cNvPr id="4" name="Straight Connector 3"/>
        <xdr:cNvCxnSpPr/>
      </xdr:nvCxnSpPr>
      <xdr:spPr>
        <a:xfrm flipV="1">
          <a:off x="11404600" y="41713150"/>
          <a:ext cx="3365500"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321732</xdr:colOff>
      <xdr:row>28</xdr:row>
      <xdr:rowOff>16934</xdr:rowOff>
    </xdr:from>
    <xdr:to>
      <xdr:col>20</xdr:col>
      <xdr:colOff>325966</xdr:colOff>
      <xdr:row>261</xdr:row>
      <xdr:rowOff>118534</xdr:rowOff>
    </xdr:to>
    <xdr:cxnSp macro="">
      <xdr:nvCxnSpPr>
        <xdr:cNvPr id="5" name="Straight Connector 4"/>
        <xdr:cNvCxnSpPr/>
      </xdr:nvCxnSpPr>
      <xdr:spPr>
        <a:xfrm flipV="1">
          <a:off x="15275982" y="5770034"/>
          <a:ext cx="4234" cy="3597275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385234</xdr:colOff>
      <xdr:row>27</xdr:row>
      <xdr:rowOff>143932</xdr:rowOff>
    </xdr:from>
    <xdr:to>
      <xdr:col>14</xdr:col>
      <xdr:colOff>444500</xdr:colOff>
      <xdr:row>254</xdr:row>
      <xdr:rowOff>101600</xdr:rowOff>
    </xdr:to>
    <xdr:cxnSp macro="">
      <xdr:nvCxnSpPr>
        <xdr:cNvPr id="6" name="Straight Connector 5"/>
        <xdr:cNvCxnSpPr/>
      </xdr:nvCxnSpPr>
      <xdr:spPr>
        <a:xfrm flipH="1" flipV="1">
          <a:off x="13320184" y="5716057"/>
          <a:ext cx="59266" cy="34542943"/>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304800</xdr:colOff>
      <xdr:row>28</xdr:row>
      <xdr:rowOff>0</xdr:rowOff>
    </xdr:from>
    <xdr:to>
      <xdr:col>17</xdr:col>
      <xdr:colOff>321733</xdr:colOff>
      <xdr:row>261</xdr:row>
      <xdr:rowOff>84667</xdr:rowOff>
    </xdr:to>
    <xdr:cxnSp macro="">
      <xdr:nvCxnSpPr>
        <xdr:cNvPr id="7" name="Straight Connector 6"/>
        <xdr:cNvCxnSpPr/>
      </xdr:nvCxnSpPr>
      <xdr:spPr>
        <a:xfrm flipH="1" flipV="1">
          <a:off x="14744700" y="5753100"/>
          <a:ext cx="16933" cy="35955817"/>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317500</xdr:colOff>
      <xdr:row>261</xdr:row>
      <xdr:rowOff>88900</xdr:rowOff>
    </xdr:from>
    <xdr:to>
      <xdr:col>20</xdr:col>
      <xdr:colOff>321733</xdr:colOff>
      <xdr:row>261</xdr:row>
      <xdr:rowOff>101600</xdr:rowOff>
    </xdr:to>
    <xdr:cxnSp macro="">
      <xdr:nvCxnSpPr>
        <xdr:cNvPr id="8" name="Straight Connector 7"/>
        <xdr:cNvCxnSpPr/>
      </xdr:nvCxnSpPr>
      <xdr:spPr>
        <a:xfrm>
          <a:off x="14757400" y="41713150"/>
          <a:ext cx="518583"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889000</xdr:colOff>
      <xdr:row>211</xdr:row>
      <xdr:rowOff>88900</xdr:rowOff>
    </xdr:from>
    <xdr:to>
      <xdr:col>25</xdr:col>
      <xdr:colOff>457200</xdr:colOff>
      <xdr:row>211</xdr:row>
      <xdr:rowOff>101600</xdr:rowOff>
    </xdr:to>
    <xdr:cxnSp macro="">
      <xdr:nvCxnSpPr>
        <xdr:cNvPr id="9" name="Straight Connector 8"/>
        <xdr:cNvCxnSpPr/>
      </xdr:nvCxnSpPr>
      <xdr:spPr>
        <a:xfrm flipV="1">
          <a:off x="889000" y="34493200"/>
          <a:ext cx="17294225"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469900</xdr:colOff>
      <xdr:row>77</xdr:row>
      <xdr:rowOff>190500</xdr:rowOff>
    </xdr:from>
    <xdr:to>
      <xdr:col>25</xdr:col>
      <xdr:colOff>469900</xdr:colOff>
      <xdr:row>211</xdr:row>
      <xdr:rowOff>88900</xdr:rowOff>
    </xdr:to>
    <xdr:cxnSp macro="">
      <xdr:nvCxnSpPr>
        <xdr:cNvPr id="10" name="Straight Connector 9"/>
        <xdr:cNvCxnSpPr/>
      </xdr:nvCxnSpPr>
      <xdr:spPr>
        <a:xfrm flipV="1">
          <a:off x="18195925" y="15982950"/>
          <a:ext cx="0" cy="1851025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381000</xdr:colOff>
      <xdr:row>77</xdr:row>
      <xdr:rowOff>152400</xdr:rowOff>
    </xdr:from>
    <xdr:to>
      <xdr:col>29</xdr:col>
      <xdr:colOff>393700</xdr:colOff>
      <xdr:row>211</xdr:row>
      <xdr:rowOff>152400</xdr:rowOff>
    </xdr:to>
    <xdr:cxnSp macro="">
      <xdr:nvCxnSpPr>
        <xdr:cNvPr id="11" name="Straight Connector 10"/>
        <xdr:cNvCxnSpPr/>
      </xdr:nvCxnSpPr>
      <xdr:spPr>
        <a:xfrm flipV="1">
          <a:off x="20612100" y="15944850"/>
          <a:ext cx="12700" cy="1861185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457200</xdr:colOff>
      <xdr:row>211</xdr:row>
      <xdr:rowOff>101600</xdr:rowOff>
    </xdr:from>
    <xdr:to>
      <xdr:col>29</xdr:col>
      <xdr:colOff>393700</xdr:colOff>
      <xdr:row>211</xdr:row>
      <xdr:rowOff>127000</xdr:rowOff>
    </xdr:to>
    <xdr:cxnSp macro="">
      <xdr:nvCxnSpPr>
        <xdr:cNvPr id="12" name="Straight Connector 11"/>
        <xdr:cNvCxnSpPr/>
      </xdr:nvCxnSpPr>
      <xdr:spPr>
        <a:xfrm>
          <a:off x="18183225" y="34505900"/>
          <a:ext cx="2441575"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495300</xdr:colOff>
      <xdr:row>254</xdr:row>
      <xdr:rowOff>101600</xdr:rowOff>
    </xdr:from>
    <xdr:to>
      <xdr:col>14</xdr:col>
      <xdr:colOff>444500</xdr:colOff>
      <xdr:row>254</xdr:row>
      <xdr:rowOff>101600</xdr:rowOff>
    </xdr:to>
    <xdr:cxnSp macro="">
      <xdr:nvCxnSpPr>
        <xdr:cNvPr id="13" name="Straight Connector 12"/>
        <xdr:cNvCxnSpPr/>
      </xdr:nvCxnSpPr>
      <xdr:spPr>
        <a:xfrm>
          <a:off x="11239500" y="40259000"/>
          <a:ext cx="2139950" cy="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76200</xdr:colOff>
      <xdr:row>253</xdr:row>
      <xdr:rowOff>101600</xdr:rowOff>
    </xdr:from>
    <xdr:to>
      <xdr:col>13</xdr:col>
      <xdr:colOff>342900</xdr:colOff>
      <xdr:row>253</xdr:row>
      <xdr:rowOff>114300</xdr:rowOff>
    </xdr:to>
    <xdr:cxnSp macro="">
      <xdr:nvCxnSpPr>
        <xdr:cNvPr id="2" name="Straight Connector 1"/>
        <xdr:cNvCxnSpPr/>
      </xdr:nvCxnSpPr>
      <xdr:spPr>
        <a:xfrm>
          <a:off x="6696075" y="40020875"/>
          <a:ext cx="6048375"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325967</xdr:colOff>
      <xdr:row>27</xdr:row>
      <xdr:rowOff>165101</xdr:rowOff>
    </xdr:from>
    <xdr:to>
      <xdr:col>13</xdr:col>
      <xdr:colOff>355600</xdr:colOff>
      <xdr:row>253</xdr:row>
      <xdr:rowOff>84667</xdr:rowOff>
    </xdr:to>
    <xdr:cxnSp macro="">
      <xdr:nvCxnSpPr>
        <xdr:cNvPr id="3" name="Straight Connector 2"/>
        <xdr:cNvCxnSpPr/>
      </xdr:nvCxnSpPr>
      <xdr:spPr>
        <a:xfrm flipH="1" flipV="1">
          <a:off x="12727517" y="5737226"/>
          <a:ext cx="29633" cy="34266716"/>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372533</xdr:colOff>
      <xdr:row>261</xdr:row>
      <xdr:rowOff>88900</xdr:rowOff>
    </xdr:from>
    <xdr:to>
      <xdr:col>17</xdr:col>
      <xdr:colOff>330200</xdr:colOff>
      <xdr:row>261</xdr:row>
      <xdr:rowOff>101600</xdr:rowOff>
    </xdr:to>
    <xdr:cxnSp macro="">
      <xdr:nvCxnSpPr>
        <xdr:cNvPr id="4" name="Straight Connector 3"/>
        <xdr:cNvCxnSpPr/>
      </xdr:nvCxnSpPr>
      <xdr:spPr>
        <a:xfrm flipV="1">
          <a:off x="5496983" y="41684575"/>
          <a:ext cx="9273117"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237066</xdr:colOff>
      <xdr:row>27</xdr:row>
      <xdr:rowOff>152399</xdr:rowOff>
    </xdr:from>
    <xdr:to>
      <xdr:col>20</xdr:col>
      <xdr:colOff>309033</xdr:colOff>
      <xdr:row>261</xdr:row>
      <xdr:rowOff>84667</xdr:rowOff>
    </xdr:to>
    <xdr:cxnSp macro="">
      <xdr:nvCxnSpPr>
        <xdr:cNvPr id="5" name="Straight Connector 4"/>
        <xdr:cNvCxnSpPr/>
      </xdr:nvCxnSpPr>
      <xdr:spPr>
        <a:xfrm flipV="1">
          <a:off x="15191316" y="5724524"/>
          <a:ext cx="71967" cy="35955818"/>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317500</xdr:colOff>
      <xdr:row>28</xdr:row>
      <xdr:rowOff>0</xdr:rowOff>
    </xdr:from>
    <xdr:to>
      <xdr:col>14</xdr:col>
      <xdr:colOff>355600</xdr:colOff>
      <xdr:row>254</xdr:row>
      <xdr:rowOff>127000</xdr:rowOff>
    </xdr:to>
    <xdr:cxnSp macro="">
      <xdr:nvCxnSpPr>
        <xdr:cNvPr id="6" name="Straight Connector 5"/>
        <xdr:cNvCxnSpPr/>
      </xdr:nvCxnSpPr>
      <xdr:spPr>
        <a:xfrm flipV="1">
          <a:off x="13252450" y="5753100"/>
          <a:ext cx="38100" cy="34502725"/>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270933</xdr:colOff>
      <xdr:row>28</xdr:row>
      <xdr:rowOff>0</xdr:rowOff>
    </xdr:from>
    <xdr:to>
      <xdr:col>17</xdr:col>
      <xdr:colOff>304800</xdr:colOff>
      <xdr:row>261</xdr:row>
      <xdr:rowOff>67734</xdr:rowOff>
    </xdr:to>
    <xdr:cxnSp macro="">
      <xdr:nvCxnSpPr>
        <xdr:cNvPr id="7" name="Straight Connector 6"/>
        <xdr:cNvCxnSpPr/>
      </xdr:nvCxnSpPr>
      <xdr:spPr>
        <a:xfrm flipV="1">
          <a:off x="14710833" y="5753100"/>
          <a:ext cx="33867" cy="35910309"/>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317500</xdr:colOff>
      <xdr:row>261</xdr:row>
      <xdr:rowOff>67734</xdr:rowOff>
    </xdr:from>
    <xdr:to>
      <xdr:col>20</xdr:col>
      <xdr:colOff>270933</xdr:colOff>
      <xdr:row>261</xdr:row>
      <xdr:rowOff>88900</xdr:rowOff>
    </xdr:to>
    <xdr:cxnSp macro="">
      <xdr:nvCxnSpPr>
        <xdr:cNvPr id="8" name="Straight Connector 7"/>
        <xdr:cNvCxnSpPr/>
      </xdr:nvCxnSpPr>
      <xdr:spPr>
        <a:xfrm flipV="1">
          <a:off x="14757400" y="41663409"/>
          <a:ext cx="467783" cy="21166"/>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889000</xdr:colOff>
      <xdr:row>211</xdr:row>
      <xdr:rowOff>88900</xdr:rowOff>
    </xdr:from>
    <xdr:to>
      <xdr:col>25</xdr:col>
      <xdr:colOff>457200</xdr:colOff>
      <xdr:row>211</xdr:row>
      <xdr:rowOff>101600</xdr:rowOff>
    </xdr:to>
    <xdr:cxnSp macro="">
      <xdr:nvCxnSpPr>
        <xdr:cNvPr id="9" name="Straight Connector 8"/>
        <xdr:cNvCxnSpPr/>
      </xdr:nvCxnSpPr>
      <xdr:spPr>
        <a:xfrm flipV="1">
          <a:off x="889000" y="34417000"/>
          <a:ext cx="17294225"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469900</xdr:colOff>
      <xdr:row>77</xdr:row>
      <xdr:rowOff>190501</xdr:rowOff>
    </xdr:from>
    <xdr:to>
      <xdr:col>25</xdr:col>
      <xdr:colOff>474134</xdr:colOff>
      <xdr:row>211</xdr:row>
      <xdr:rowOff>84667</xdr:rowOff>
    </xdr:to>
    <xdr:cxnSp macro="">
      <xdr:nvCxnSpPr>
        <xdr:cNvPr id="10" name="Straight Connector 9"/>
        <xdr:cNvCxnSpPr/>
      </xdr:nvCxnSpPr>
      <xdr:spPr>
        <a:xfrm flipH="1" flipV="1">
          <a:off x="18195925" y="15982951"/>
          <a:ext cx="4234" cy="18429816"/>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389466</xdr:colOff>
      <xdr:row>77</xdr:row>
      <xdr:rowOff>152401</xdr:rowOff>
    </xdr:from>
    <xdr:to>
      <xdr:col>29</xdr:col>
      <xdr:colOff>393700</xdr:colOff>
      <xdr:row>211</xdr:row>
      <xdr:rowOff>118533</xdr:rowOff>
    </xdr:to>
    <xdr:cxnSp macro="">
      <xdr:nvCxnSpPr>
        <xdr:cNvPr id="11" name="Straight Connector 10"/>
        <xdr:cNvCxnSpPr/>
      </xdr:nvCxnSpPr>
      <xdr:spPr>
        <a:xfrm flipV="1">
          <a:off x="20620566" y="15944851"/>
          <a:ext cx="4234" cy="18501782"/>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457200</xdr:colOff>
      <xdr:row>211</xdr:row>
      <xdr:rowOff>101600</xdr:rowOff>
    </xdr:from>
    <xdr:to>
      <xdr:col>29</xdr:col>
      <xdr:colOff>393700</xdr:colOff>
      <xdr:row>211</xdr:row>
      <xdr:rowOff>127000</xdr:rowOff>
    </xdr:to>
    <xdr:cxnSp macro="">
      <xdr:nvCxnSpPr>
        <xdr:cNvPr id="12" name="Straight Connector 11"/>
        <xdr:cNvCxnSpPr/>
      </xdr:nvCxnSpPr>
      <xdr:spPr>
        <a:xfrm>
          <a:off x="18183225" y="34429700"/>
          <a:ext cx="2441575"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495300</xdr:colOff>
      <xdr:row>254</xdr:row>
      <xdr:rowOff>101600</xdr:rowOff>
    </xdr:from>
    <xdr:to>
      <xdr:col>14</xdr:col>
      <xdr:colOff>342900</xdr:colOff>
      <xdr:row>254</xdr:row>
      <xdr:rowOff>114300</xdr:rowOff>
    </xdr:to>
    <xdr:cxnSp macro="">
      <xdr:nvCxnSpPr>
        <xdr:cNvPr id="13" name="Straight Connector 12"/>
        <xdr:cNvCxnSpPr/>
      </xdr:nvCxnSpPr>
      <xdr:spPr>
        <a:xfrm>
          <a:off x="11239500" y="40230425"/>
          <a:ext cx="2038350"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12700</xdr:colOff>
      <xdr:row>253</xdr:row>
      <xdr:rowOff>88900</xdr:rowOff>
    </xdr:from>
    <xdr:to>
      <xdr:col>13</xdr:col>
      <xdr:colOff>393700</xdr:colOff>
      <xdr:row>253</xdr:row>
      <xdr:rowOff>101600</xdr:rowOff>
    </xdr:to>
    <xdr:cxnSp macro="">
      <xdr:nvCxnSpPr>
        <xdr:cNvPr id="2" name="Straight Connector 1"/>
        <xdr:cNvCxnSpPr/>
      </xdr:nvCxnSpPr>
      <xdr:spPr>
        <a:xfrm flipV="1">
          <a:off x="6632575" y="40074850"/>
          <a:ext cx="6162675"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275167</xdr:colOff>
      <xdr:row>27</xdr:row>
      <xdr:rowOff>165101</xdr:rowOff>
    </xdr:from>
    <xdr:to>
      <xdr:col>13</xdr:col>
      <xdr:colOff>372533</xdr:colOff>
      <xdr:row>253</xdr:row>
      <xdr:rowOff>101600</xdr:rowOff>
    </xdr:to>
    <xdr:cxnSp macro="">
      <xdr:nvCxnSpPr>
        <xdr:cNvPr id="3" name="Straight Connector 2"/>
        <xdr:cNvCxnSpPr/>
      </xdr:nvCxnSpPr>
      <xdr:spPr>
        <a:xfrm flipH="1" flipV="1">
          <a:off x="12676717" y="5737226"/>
          <a:ext cx="97366" cy="34350324"/>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673100</xdr:colOff>
      <xdr:row>261</xdr:row>
      <xdr:rowOff>88900</xdr:rowOff>
    </xdr:from>
    <xdr:to>
      <xdr:col>17</xdr:col>
      <xdr:colOff>330200</xdr:colOff>
      <xdr:row>261</xdr:row>
      <xdr:rowOff>114300</xdr:rowOff>
    </xdr:to>
    <xdr:cxnSp macro="">
      <xdr:nvCxnSpPr>
        <xdr:cNvPr id="4" name="Straight Connector 3"/>
        <xdr:cNvCxnSpPr/>
      </xdr:nvCxnSpPr>
      <xdr:spPr>
        <a:xfrm flipV="1">
          <a:off x="11417300" y="41751250"/>
          <a:ext cx="3352800"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262466</xdr:colOff>
      <xdr:row>28</xdr:row>
      <xdr:rowOff>0</xdr:rowOff>
    </xdr:from>
    <xdr:to>
      <xdr:col>20</xdr:col>
      <xdr:colOff>266700</xdr:colOff>
      <xdr:row>261</xdr:row>
      <xdr:rowOff>80436</xdr:rowOff>
    </xdr:to>
    <xdr:cxnSp macro="">
      <xdr:nvCxnSpPr>
        <xdr:cNvPr id="5" name="Straight Connector 4"/>
        <xdr:cNvCxnSpPr/>
      </xdr:nvCxnSpPr>
      <xdr:spPr>
        <a:xfrm flipV="1">
          <a:off x="15216716" y="5753100"/>
          <a:ext cx="4234" cy="35989686"/>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304800</xdr:colOff>
      <xdr:row>28</xdr:row>
      <xdr:rowOff>0</xdr:rowOff>
    </xdr:from>
    <xdr:to>
      <xdr:col>14</xdr:col>
      <xdr:colOff>355600</xdr:colOff>
      <xdr:row>254</xdr:row>
      <xdr:rowOff>114300</xdr:rowOff>
    </xdr:to>
    <xdr:cxnSp macro="">
      <xdr:nvCxnSpPr>
        <xdr:cNvPr id="6" name="Straight Connector 5"/>
        <xdr:cNvCxnSpPr/>
      </xdr:nvCxnSpPr>
      <xdr:spPr>
        <a:xfrm flipV="1">
          <a:off x="13239750" y="5753100"/>
          <a:ext cx="50800" cy="34556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304800</xdr:colOff>
      <xdr:row>28</xdr:row>
      <xdr:rowOff>0</xdr:rowOff>
    </xdr:from>
    <xdr:to>
      <xdr:col>17</xdr:col>
      <xdr:colOff>338667</xdr:colOff>
      <xdr:row>261</xdr:row>
      <xdr:rowOff>84667</xdr:rowOff>
    </xdr:to>
    <xdr:cxnSp macro="">
      <xdr:nvCxnSpPr>
        <xdr:cNvPr id="7" name="Straight Connector 6"/>
        <xdr:cNvCxnSpPr/>
      </xdr:nvCxnSpPr>
      <xdr:spPr>
        <a:xfrm flipH="1" flipV="1">
          <a:off x="14744700" y="5753100"/>
          <a:ext cx="33867" cy="35993917"/>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317500</xdr:colOff>
      <xdr:row>261</xdr:row>
      <xdr:rowOff>88900</xdr:rowOff>
    </xdr:from>
    <xdr:to>
      <xdr:col>20</xdr:col>
      <xdr:colOff>304800</xdr:colOff>
      <xdr:row>261</xdr:row>
      <xdr:rowOff>88900</xdr:rowOff>
    </xdr:to>
    <xdr:cxnSp macro="">
      <xdr:nvCxnSpPr>
        <xdr:cNvPr id="8" name="Straight Connector 7"/>
        <xdr:cNvCxnSpPr/>
      </xdr:nvCxnSpPr>
      <xdr:spPr>
        <a:xfrm>
          <a:off x="14757400" y="41751250"/>
          <a:ext cx="501650" cy="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889000</xdr:colOff>
      <xdr:row>211</xdr:row>
      <xdr:rowOff>88900</xdr:rowOff>
    </xdr:from>
    <xdr:to>
      <xdr:col>25</xdr:col>
      <xdr:colOff>457200</xdr:colOff>
      <xdr:row>211</xdr:row>
      <xdr:rowOff>101600</xdr:rowOff>
    </xdr:to>
    <xdr:cxnSp macro="">
      <xdr:nvCxnSpPr>
        <xdr:cNvPr id="9" name="Straight Connector 8"/>
        <xdr:cNvCxnSpPr/>
      </xdr:nvCxnSpPr>
      <xdr:spPr>
        <a:xfrm flipV="1">
          <a:off x="889000" y="34483675"/>
          <a:ext cx="17294225"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457200</xdr:colOff>
      <xdr:row>77</xdr:row>
      <xdr:rowOff>190501</xdr:rowOff>
    </xdr:from>
    <xdr:to>
      <xdr:col>25</xdr:col>
      <xdr:colOff>469900</xdr:colOff>
      <xdr:row>211</xdr:row>
      <xdr:rowOff>84667</xdr:rowOff>
    </xdr:to>
    <xdr:cxnSp macro="">
      <xdr:nvCxnSpPr>
        <xdr:cNvPr id="10" name="Straight Connector 9"/>
        <xdr:cNvCxnSpPr/>
      </xdr:nvCxnSpPr>
      <xdr:spPr>
        <a:xfrm flipV="1">
          <a:off x="18183225" y="15982951"/>
          <a:ext cx="12700" cy="18496491"/>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389466</xdr:colOff>
      <xdr:row>77</xdr:row>
      <xdr:rowOff>152401</xdr:rowOff>
    </xdr:from>
    <xdr:to>
      <xdr:col>29</xdr:col>
      <xdr:colOff>393700</xdr:colOff>
      <xdr:row>211</xdr:row>
      <xdr:rowOff>118533</xdr:rowOff>
    </xdr:to>
    <xdr:cxnSp macro="">
      <xdr:nvCxnSpPr>
        <xdr:cNvPr id="11" name="Straight Connector 10"/>
        <xdr:cNvCxnSpPr/>
      </xdr:nvCxnSpPr>
      <xdr:spPr>
        <a:xfrm flipV="1">
          <a:off x="20620566" y="15944851"/>
          <a:ext cx="4234" cy="18568457"/>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457200</xdr:colOff>
      <xdr:row>211</xdr:row>
      <xdr:rowOff>101600</xdr:rowOff>
    </xdr:from>
    <xdr:to>
      <xdr:col>29</xdr:col>
      <xdr:colOff>393700</xdr:colOff>
      <xdr:row>211</xdr:row>
      <xdr:rowOff>127000</xdr:rowOff>
    </xdr:to>
    <xdr:cxnSp macro="">
      <xdr:nvCxnSpPr>
        <xdr:cNvPr id="12" name="Straight Connector 11"/>
        <xdr:cNvCxnSpPr/>
      </xdr:nvCxnSpPr>
      <xdr:spPr>
        <a:xfrm>
          <a:off x="18183225" y="34496375"/>
          <a:ext cx="2441575"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444500</xdr:colOff>
      <xdr:row>254</xdr:row>
      <xdr:rowOff>101600</xdr:rowOff>
    </xdr:from>
    <xdr:to>
      <xdr:col>14</xdr:col>
      <xdr:colOff>317500</xdr:colOff>
      <xdr:row>254</xdr:row>
      <xdr:rowOff>101600</xdr:rowOff>
    </xdr:to>
    <xdr:cxnSp macro="">
      <xdr:nvCxnSpPr>
        <xdr:cNvPr id="13" name="Straight Connector 12"/>
        <xdr:cNvCxnSpPr/>
      </xdr:nvCxnSpPr>
      <xdr:spPr>
        <a:xfrm>
          <a:off x="11188700" y="40297100"/>
          <a:ext cx="2063750" cy="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12700</xdr:colOff>
      <xdr:row>7</xdr:row>
      <xdr:rowOff>63500</xdr:rowOff>
    </xdr:from>
    <xdr:to>
      <xdr:col>6</xdr:col>
      <xdr:colOff>0</xdr:colOff>
      <xdr:row>7</xdr:row>
      <xdr:rowOff>1701800</xdr:rowOff>
    </xdr:to>
    <xdr:sp macro="" textlink="">
      <xdr:nvSpPr>
        <xdr:cNvPr id="2" name="TextBox 1"/>
        <xdr:cNvSpPr txBox="1"/>
      </xdr:nvSpPr>
      <xdr:spPr>
        <a:xfrm>
          <a:off x="12700" y="1387475"/>
          <a:ext cx="6911975" cy="1638300"/>
        </a:xfrm>
        <a:prstGeom prst="rect">
          <a:avLst/>
        </a:prstGeom>
        <a:solidFill>
          <a:srgbClr val="FFFF8B"/>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u="none">
              <a:solidFill>
                <a:schemeClr val="accent5">
                  <a:lumMod val="50000"/>
                </a:schemeClr>
              </a:solidFill>
            </a:rPr>
            <a:t>Enter information in the boxes below.</a:t>
          </a:r>
          <a:r>
            <a:rPr lang="en-US" sz="1100" b="1" u="none" baseline="0">
              <a:solidFill>
                <a:schemeClr val="accent5">
                  <a:lumMod val="50000"/>
                </a:schemeClr>
              </a:solidFill>
            </a:rPr>
            <a:t>  The form then calculates total graduate student compensation (direct compensation, health insurance, and tuition/fees) based on the student's % effort on the project.</a:t>
          </a:r>
        </a:p>
        <a:p>
          <a:pPr algn="l"/>
          <a:endParaRPr lang="en-US" sz="1100" b="1" u="none" baseline="0">
            <a:solidFill>
              <a:schemeClr val="accent5">
                <a:lumMod val="50000"/>
              </a:schemeClr>
            </a:solidFill>
          </a:endParaRPr>
        </a:p>
        <a:p>
          <a:pPr algn="l"/>
          <a:r>
            <a:rPr lang="en-US" sz="1100" b="1" u="none">
              <a:solidFill>
                <a:srgbClr val="FF0000"/>
              </a:solidFill>
            </a:rPr>
            <a:t>Did you choose Yes to the NIH Grad Student question on the yearly budget tab(s)?  </a:t>
          </a:r>
          <a:r>
            <a:rPr lang="en-US" sz="1100" b="1" u="none">
              <a:solidFill>
                <a:schemeClr val="accent5">
                  <a:lumMod val="50000"/>
                </a:schemeClr>
              </a:solidFill>
            </a:rPr>
            <a:t>You must answer Yes so the amounts below  automatically link to your budget tab(s).</a:t>
          </a:r>
        </a:p>
        <a:p>
          <a:pPr algn="l"/>
          <a:endParaRPr lang="en-US" sz="1100" b="1" u="none">
            <a:solidFill>
              <a:schemeClr val="accent5">
                <a:lumMod val="50000"/>
              </a:schemeClr>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1" i="1" baseline="0">
              <a:solidFill>
                <a:schemeClr val="accent5">
                  <a:lumMod val="50000"/>
                </a:schemeClr>
              </a:solidFill>
              <a:effectLst/>
              <a:latin typeface="+mn-lt"/>
              <a:ea typeface="+mn-ea"/>
              <a:cs typeface="+mn-cs"/>
            </a:rPr>
            <a:t>Also, remember that if you answered Yes to the questions about future budget years remaining the same as the Y1 budget, then you only complete grad student info for Y1 below and </a:t>
          </a:r>
          <a:r>
            <a:rPr lang="en-US" sz="1100" b="1" i="1" u="sng" baseline="0">
              <a:solidFill>
                <a:schemeClr val="accent5">
                  <a:lumMod val="50000"/>
                </a:schemeClr>
              </a:solidFill>
              <a:effectLst/>
              <a:latin typeface="+mn-lt"/>
              <a:ea typeface="+mn-ea"/>
              <a:cs typeface="+mn-cs"/>
            </a:rPr>
            <a:t>not</a:t>
          </a:r>
          <a:r>
            <a:rPr lang="en-US" sz="1100" b="1" i="1" baseline="0">
              <a:solidFill>
                <a:schemeClr val="accent5">
                  <a:lumMod val="50000"/>
                </a:schemeClr>
              </a:solidFill>
              <a:effectLst/>
              <a:latin typeface="+mn-lt"/>
              <a:ea typeface="+mn-ea"/>
              <a:cs typeface="+mn-cs"/>
            </a:rPr>
            <a:t> for future years.</a:t>
          </a:r>
          <a:endParaRPr lang="en-US" sz="1100" i="1">
            <a:solidFill>
              <a:schemeClr val="accent5">
                <a:lumMod val="50000"/>
              </a:schemeClr>
            </a:solidFill>
            <a:effectLst/>
          </a:endParaRPr>
        </a:p>
        <a:p>
          <a:pPr algn="l"/>
          <a:endParaRPr lang="en-US" sz="1200" b="1" u="none">
            <a:solidFill>
              <a:schemeClr val="accent5">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907472</xdr:colOff>
      <xdr:row>197</xdr:row>
      <xdr:rowOff>90055</xdr:rowOff>
    </xdr:from>
    <xdr:to>
      <xdr:col>16</xdr:col>
      <xdr:colOff>277092</xdr:colOff>
      <xdr:row>197</xdr:row>
      <xdr:rowOff>96982</xdr:rowOff>
    </xdr:to>
    <xdr:cxnSp macro="">
      <xdr:nvCxnSpPr>
        <xdr:cNvPr id="4" name="Straight Connector 3"/>
        <xdr:cNvCxnSpPr/>
      </xdr:nvCxnSpPr>
      <xdr:spPr>
        <a:xfrm flipV="1">
          <a:off x="7758545" y="28214782"/>
          <a:ext cx="3837711" cy="6927"/>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263237</xdr:colOff>
      <xdr:row>24</xdr:row>
      <xdr:rowOff>165102</xdr:rowOff>
    </xdr:from>
    <xdr:to>
      <xdr:col>16</xdr:col>
      <xdr:colOff>307340</xdr:colOff>
      <xdr:row>197</xdr:row>
      <xdr:rowOff>90055</xdr:rowOff>
    </xdr:to>
    <xdr:cxnSp macro="">
      <xdr:nvCxnSpPr>
        <xdr:cNvPr id="5" name="Straight Connector 4"/>
        <xdr:cNvCxnSpPr/>
      </xdr:nvCxnSpPr>
      <xdr:spPr>
        <a:xfrm flipV="1">
          <a:off x="10861964" y="5131957"/>
          <a:ext cx="44103" cy="23637007"/>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287866</xdr:colOff>
      <xdr:row>25</xdr:row>
      <xdr:rowOff>1</xdr:rowOff>
    </xdr:from>
    <xdr:to>
      <xdr:col>25</xdr:col>
      <xdr:colOff>309034</xdr:colOff>
      <xdr:row>263</xdr:row>
      <xdr:rowOff>101600</xdr:rowOff>
    </xdr:to>
    <xdr:cxnSp macro="">
      <xdr:nvCxnSpPr>
        <xdr:cNvPr id="7" name="Straight Connector 6"/>
        <xdr:cNvCxnSpPr/>
      </xdr:nvCxnSpPr>
      <xdr:spPr>
        <a:xfrm flipV="1">
          <a:off x="17441333" y="5554134"/>
          <a:ext cx="21168" cy="33731199"/>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249381</xdr:colOff>
      <xdr:row>25</xdr:row>
      <xdr:rowOff>3</xdr:rowOff>
    </xdr:from>
    <xdr:to>
      <xdr:col>20</xdr:col>
      <xdr:colOff>304800</xdr:colOff>
      <xdr:row>260</xdr:row>
      <xdr:rowOff>124691</xdr:rowOff>
    </xdr:to>
    <xdr:cxnSp macro="">
      <xdr:nvCxnSpPr>
        <xdr:cNvPr id="10" name="Straight Connector 9"/>
        <xdr:cNvCxnSpPr/>
      </xdr:nvCxnSpPr>
      <xdr:spPr>
        <a:xfrm flipV="1">
          <a:off x="12863945" y="5008421"/>
          <a:ext cx="55419" cy="27279597"/>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889000</xdr:colOff>
      <xdr:row>215</xdr:row>
      <xdr:rowOff>88900</xdr:rowOff>
    </xdr:from>
    <xdr:to>
      <xdr:col>30</xdr:col>
      <xdr:colOff>457200</xdr:colOff>
      <xdr:row>215</xdr:row>
      <xdr:rowOff>101600</xdr:rowOff>
    </xdr:to>
    <xdr:cxnSp macro="">
      <xdr:nvCxnSpPr>
        <xdr:cNvPr id="12" name="Straight Connector 11"/>
        <xdr:cNvCxnSpPr/>
      </xdr:nvCxnSpPr>
      <xdr:spPr>
        <a:xfrm flipV="1">
          <a:off x="889000" y="39455725"/>
          <a:ext cx="16751300"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457200</xdr:colOff>
      <xdr:row>73</xdr:row>
      <xdr:rowOff>190501</xdr:rowOff>
    </xdr:from>
    <xdr:to>
      <xdr:col>30</xdr:col>
      <xdr:colOff>469900</xdr:colOff>
      <xdr:row>215</xdr:row>
      <xdr:rowOff>84667</xdr:rowOff>
    </xdr:to>
    <xdr:cxnSp macro="">
      <xdr:nvCxnSpPr>
        <xdr:cNvPr id="13" name="Straight Connector 12"/>
        <xdr:cNvCxnSpPr/>
      </xdr:nvCxnSpPr>
      <xdr:spPr>
        <a:xfrm flipV="1">
          <a:off x="20794133" y="15481301"/>
          <a:ext cx="12700" cy="17132299"/>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372533</xdr:colOff>
      <xdr:row>73</xdr:row>
      <xdr:rowOff>152401</xdr:rowOff>
    </xdr:from>
    <xdr:to>
      <xdr:col>34</xdr:col>
      <xdr:colOff>393700</xdr:colOff>
      <xdr:row>215</xdr:row>
      <xdr:rowOff>118534</xdr:rowOff>
    </xdr:to>
    <xdr:cxnSp macro="">
      <xdr:nvCxnSpPr>
        <xdr:cNvPr id="14" name="Straight Connector 13"/>
        <xdr:cNvCxnSpPr/>
      </xdr:nvCxnSpPr>
      <xdr:spPr>
        <a:xfrm flipV="1">
          <a:off x="23571200" y="15443201"/>
          <a:ext cx="21167" cy="17204266"/>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457200</xdr:colOff>
      <xdr:row>215</xdr:row>
      <xdr:rowOff>101600</xdr:rowOff>
    </xdr:from>
    <xdr:to>
      <xdr:col>34</xdr:col>
      <xdr:colOff>393700</xdr:colOff>
      <xdr:row>215</xdr:row>
      <xdr:rowOff>127000</xdr:rowOff>
    </xdr:to>
    <xdr:cxnSp macro="">
      <xdr:nvCxnSpPr>
        <xdr:cNvPr id="15" name="Straight Connector 14"/>
        <xdr:cNvCxnSpPr/>
      </xdr:nvCxnSpPr>
      <xdr:spPr>
        <a:xfrm>
          <a:off x="17640300" y="39468425"/>
          <a:ext cx="2441575"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734295</xdr:colOff>
      <xdr:row>94</xdr:row>
      <xdr:rowOff>173183</xdr:rowOff>
    </xdr:from>
    <xdr:to>
      <xdr:col>2</xdr:col>
      <xdr:colOff>994760</xdr:colOff>
      <xdr:row>96</xdr:row>
      <xdr:rowOff>0</xdr:rowOff>
    </xdr:to>
    <xdr:sp macro="" textlink="">
      <xdr:nvSpPr>
        <xdr:cNvPr id="16" name="Multiply 15"/>
        <xdr:cNvSpPr/>
      </xdr:nvSpPr>
      <xdr:spPr>
        <a:xfrm>
          <a:off x="3408222" y="17352819"/>
          <a:ext cx="260465" cy="242454"/>
        </a:xfrm>
        <a:prstGeom prst="mathMultiply">
          <a:avLst/>
        </a:prstGeom>
        <a:solidFill>
          <a:schemeClr val="tx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332505</xdr:colOff>
      <xdr:row>95</xdr:row>
      <xdr:rowOff>62345</xdr:rowOff>
    </xdr:from>
    <xdr:to>
      <xdr:col>10</xdr:col>
      <xdr:colOff>545865</xdr:colOff>
      <xdr:row>95</xdr:row>
      <xdr:rowOff>62345</xdr:rowOff>
    </xdr:to>
    <xdr:cxnSp macro="">
      <xdr:nvCxnSpPr>
        <xdr:cNvPr id="18" name="Straight Connector 17"/>
        <xdr:cNvCxnSpPr/>
      </xdr:nvCxnSpPr>
      <xdr:spPr>
        <a:xfrm>
          <a:off x="6310741" y="17449800"/>
          <a:ext cx="213360"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332505</xdr:colOff>
      <xdr:row>95</xdr:row>
      <xdr:rowOff>146165</xdr:rowOff>
    </xdr:from>
    <xdr:to>
      <xdr:col>10</xdr:col>
      <xdr:colOff>545865</xdr:colOff>
      <xdr:row>95</xdr:row>
      <xdr:rowOff>146165</xdr:rowOff>
    </xdr:to>
    <xdr:cxnSp macro="">
      <xdr:nvCxnSpPr>
        <xdr:cNvPr id="19" name="Straight Connector 18"/>
        <xdr:cNvCxnSpPr/>
      </xdr:nvCxnSpPr>
      <xdr:spPr>
        <a:xfrm>
          <a:off x="6310741" y="17533620"/>
          <a:ext cx="213360"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353294</xdr:colOff>
      <xdr:row>24</xdr:row>
      <xdr:rowOff>145479</xdr:rowOff>
    </xdr:from>
    <xdr:to>
      <xdr:col>17</xdr:col>
      <xdr:colOff>353295</xdr:colOff>
      <xdr:row>25</xdr:row>
      <xdr:rowOff>167414</xdr:rowOff>
    </xdr:to>
    <xdr:cxnSp macro="">
      <xdr:nvCxnSpPr>
        <xdr:cNvPr id="20" name="Straight Connector 19"/>
        <xdr:cNvCxnSpPr/>
      </xdr:nvCxnSpPr>
      <xdr:spPr>
        <a:xfrm flipV="1">
          <a:off x="11540839" y="5112334"/>
          <a:ext cx="1" cy="202044"/>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325585</xdr:colOff>
      <xdr:row>25</xdr:row>
      <xdr:rowOff>174342</xdr:rowOff>
    </xdr:from>
    <xdr:to>
      <xdr:col>17</xdr:col>
      <xdr:colOff>353294</xdr:colOff>
      <xdr:row>25</xdr:row>
      <xdr:rowOff>181269</xdr:rowOff>
    </xdr:to>
    <xdr:cxnSp macro="">
      <xdr:nvCxnSpPr>
        <xdr:cNvPr id="21" name="Straight Connector 20"/>
        <xdr:cNvCxnSpPr/>
      </xdr:nvCxnSpPr>
      <xdr:spPr>
        <a:xfrm>
          <a:off x="10965876" y="5321306"/>
          <a:ext cx="574963" cy="6927"/>
        </a:xfrm>
        <a:prstGeom prst="line">
          <a:avLst/>
        </a:prstGeom>
        <a:ln>
          <a:solidFill>
            <a:sysClr val="windowText" lastClr="00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228600</xdr:colOff>
      <xdr:row>260</xdr:row>
      <xdr:rowOff>96970</xdr:rowOff>
    </xdr:from>
    <xdr:to>
      <xdr:col>20</xdr:col>
      <xdr:colOff>267855</xdr:colOff>
      <xdr:row>260</xdr:row>
      <xdr:rowOff>116596</xdr:rowOff>
    </xdr:to>
    <xdr:cxnSp macro="">
      <xdr:nvCxnSpPr>
        <xdr:cNvPr id="23" name="Straight Connector 22"/>
        <xdr:cNvCxnSpPr/>
      </xdr:nvCxnSpPr>
      <xdr:spPr>
        <a:xfrm>
          <a:off x="4343400" y="32260297"/>
          <a:ext cx="8539019" cy="19626"/>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374082</xdr:colOff>
      <xdr:row>24</xdr:row>
      <xdr:rowOff>145479</xdr:rowOff>
    </xdr:from>
    <xdr:to>
      <xdr:col>23</xdr:col>
      <xdr:colOff>374083</xdr:colOff>
      <xdr:row>25</xdr:row>
      <xdr:rowOff>167414</xdr:rowOff>
    </xdr:to>
    <xdr:cxnSp macro="">
      <xdr:nvCxnSpPr>
        <xdr:cNvPr id="28" name="Straight Connector 27"/>
        <xdr:cNvCxnSpPr/>
      </xdr:nvCxnSpPr>
      <xdr:spPr>
        <a:xfrm flipV="1">
          <a:off x="12794682" y="5112334"/>
          <a:ext cx="1" cy="202044"/>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325591</xdr:colOff>
      <xdr:row>25</xdr:row>
      <xdr:rowOff>174342</xdr:rowOff>
    </xdr:from>
    <xdr:to>
      <xdr:col>23</xdr:col>
      <xdr:colOff>374082</xdr:colOff>
      <xdr:row>25</xdr:row>
      <xdr:rowOff>181269</xdr:rowOff>
    </xdr:to>
    <xdr:cxnSp macro="">
      <xdr:nvCxnSpPr>
        <xdr:cNvPr id="29" name="Straight Connector 28"/>
        <xdr:cNvCxnSpPr/>
      </xdr:nvCxnSpPr>
      <xdr:spPr>
        <a:xfrm>
          <a:off x="12219718" y="5321306"/>
          <a:ext cx="574964" cy="6927"/>
        </a:xfrm>
        <a:prstGeom prst="line">
          <a:avLst/>
        </a:prstGeom>
        <a:ln>
          <a:solidFill>
            <a:sysClr val="windowText" lastClr="00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831272</xdr:colOff>
      <xdr:row>198</xdr:row>
      <xdr:rowOff>90055</xdr:rowOff>
    </xdr:from>
    <xdr:to>
      <xdr:col>16</xdr:col>
      <xdr:colOff>332509</xdr:colOff>
      <xdr:row>198</xdr:row>
      <xdr:rowOff>96981</xdr:rowOff>
    </xdr:to>
    <xdr:cxnSp macro="">
      <xdr:nvCxnSpPr>
        <xdr:cNvPr id="3" name="Straight Connector 2"/>
        <xdr:cNvCxnSpPr/>
      </xdr:nvCxnSpPr>
      <xdr:spPr>
        <a:xfrm flipV="1">
          <a:off x="7730836" y="28387964"/>
          <a:ext cx="4003964" cy="6926"/>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309034</xdr:colOff>
      <xdr:row>24</xdr:row>
      <xdr:rowOff>148168</xdr:rowOff>
    </xdr:from>
    <xdr:to>
      <xdr:col>16</xdr:col>
      <xdr:colOff>325582</xdr:colOff>
      <xdr:row>198</xdr:row>
      <xdr:rowOff>90055</xdr:rowOff>
    </xdr:to>
    <xdr:cxnSp macro="">
      <xdr:nvCxnSpPr>
        <xdr:cNvPr id="4" name="Straight Connector 3"/>
        <xdr:cNvCxnSpPr/>
      </xdr:nvCxnSpPr>
      <xdr:spPr>
        <a:xfrm flipH="1" flipV="1">
          <a:off x="11711325" y="4921059"/>
          <a:ext cx="16548" cy="23466905"/>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1025236</xdr:colOff>
      <xdr:row>263</xdr:row>
      <xdr:rowOff>90055</xdr:rowOff>
    </xdr:from>
    <xdr:to>
      <xdr:col>20</xdr:col>
      <xdr:colOff>344054</xdr:colOff>
      <xdr:row>263</xdr:row>
      <xdr:rowOff>95829</xdr:rowOff>
    </xdr:to>
    <xdr:cxnSp macro="">
      <xdr:nvCxnSpPr>
        <xdr:cNvPr id="5" name="Straight Connector 4"/>
        <xdr:cNvCxnSpPr/>
      </xdr:nvCxnSpPr>
      <xdr:spPr>
        <a:xfrm>
          <a:off x="11312236" y="32766000"/>
          <a:ext cx="1729509" cy="5774"/>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321732</xdr:colOff>
      <xdr:row>25</xdr:row>
      <xdr:rowOff>16934</xdr:rowOff>
    </xdr:from>
    <xdr:to>
      <xdr:col>25</xdr:col>
      <xdr:colOff>325966</xdr:colOff>
      <xdr:row>263</xdr:row>
      <xdr:rowOff>118534</xdr:rowOff>
    </xdr:to>
    <xdr:cxnSp macro="">
      <xdr:nvCxnSpPr>
        <xdr:cNvPr id="6" name="Straight Connector 5"/>
        <xdr:cNvCxnSpPr/>
      </xdr:nvCxnSpPr>
      <xdr:spPr>
        <a:xfrm flipV="1">
          <a:off x="17475199" y="5571067"/>
          <a:ext cx="4234" cy="34442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304800</xdr:colOff>
      <xdr:row>25</xdr:row>
      <xdr:rowOff>0</xdr:rowOff>
    </xdr:from>
    <xdr:to>
      <xdr:col>20</xdr:col>
      <xdr:colOff>321733</xdr:colOff>
      <xdr:row>263</xdr:row>
      <xdr:rowOff>84667</xdr:rowOff>
    </xdr:to>
    <xdr:cxnSp macro="">
      <xdr:nvCxnSpPr>
        <xdr:cNvPr id="9" name="Straight Connector 8"/>
        <xdr:cNvCxnSpPr/>
      </xdr:nvCxnSpPr>
      <xdr:spPr>
        <a:xfrm flipH="1" flipV="1">
          <a:off x="16865600" y="5554133"/>
          <a:ext cx="16933" cy="34425467"/>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965200</xdr:colOff>
      <xdr:row>216</xdr:row>
      <xdr:rowOff>88900</xdr:rowOff>
    </xdr:from>
    <xdr:to>
      <xdr:col>30</xdr:col>
      <xdr:colOff>457200</xdr:colOff>
      <xdr:row>216</xdr:row>
      <xdr:rowOff>101600</xdr:rowOff>
    </xdr:to>
    <xdr:cxnSp macro="">
      <xdr:nvCxnSpPr>
        <xdr:cNvPr id="11" name="Straight Connector 10"/>
        <xdr:cNvCxnSpPr/>
      </xdr:nvCxnSpPr>
      <xdr:spPr>
        <a:xfrm flipV="1">
          <a:off x="965200" y="35166300"/>
          <a:ext cx="17259300"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469900</xdr:colOff>
      <xdr:row>73</xdr:row>
      <xdr:rowOff>190500</xdr:rowOff>
    </xdr:from>
    <xdr:to>
      <xdr:col>30</xdr:col>
      <xdr:colOff>469900</xdr:colOff>
      <xdr:row>216</xdr:row>
      <xdr:rowOff>88900</xdr:rowOff>
    </xdr:to>
    <xdr:cxnSp macro="">
      <xdr:nvCxnSpPr>
        <xdr:cNvPr id="12" name="Straight Connector 11"/>
        <xdr:cNvCxnSpPr/>
      </xdr:nvCxnSpPr>
      <xdr:spPr>
        <a:xfrm flipV="1">
          <a:off x="17757775" y="15068550"/>
          <a:ext cx="0" cy="23072725"/>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381000</xdr:colOff>
      <xdr:row>73</xdr:row>
      <xdr:rowOff>152400</xdr:rowOff>
    </xdr:from>
    <xdr:to>
      <xdr:col>34</xdr:col>
      <xdr:colOff>393700</xdr:colOff>
      <xdr:row>216</xdr:row>
      <xdr:rowOff>152400</xdr:rowOff>
    </xdr:to>
    <xdr:cxnSp macro="">
      <xdr:nvCxnSpPr>
        <xdr:cNvPr id="13" name="Straight Connector 12"/>
        <xdr:cNvCxnSpPr/>
      </xdr:nvCxnSpPr>
      <xdr:spPr>
        <a:xfrm flipV="1">
          <a:off x="20173950" y="15030450"/>
          <a:ext cx="12700" cy="23174325"/>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457200</xdr:colOff>
      <xdr:row>216</xdr:row>
      <xdr:rowOff>101600</xdr:rowOff>
    </xdr:from>
    <xdr:to>
      <xdr:col>34</xdr:col>
      <xdr:colOff>393700</xdr:colOff>
      <xdr:row>216</xdr:row>
      <xdr:rowOff>127000</xdr:rowOff>
    </xdr:to>
    <xdr:cxnSp macro="">
      <xdr:nvCxnSpPr>
        <xdr:cNvPr id="14" name="Straight Connector 13"/>
        <xdr:cNvCxnSpPr/>
      </xdr:nvCxnSpPr>
      <xdr:spPr>
        <a:xfrm>
          <a:off x="17745075" y="38153975"/>
          <a:ext cx="2441575"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353295</xdr:colOff>
      <xdr:row>24</xdr:row>
      <xdr:rowOff>96980</xdr:rowOff>
    </xdr:from>
    <xdr:to>
      <xdr:col>17</xdr:col>
      <xdr:colOff>353296</xdr:colOff>
      <xdr:row>25</xdr:row>
      <xdr:rowOff>118915</xdr:rowOff>
    </xdr:to>
    <xdr:cxnSp macro="">
      <xdr:nvCxnSpPr>
        <xdr:cNvPr id="18" name="Straight Connector 17"/>
        <xdr:cNvCxnSpPr/>
      </xdr:nvCxnSpPr>
      <xdr:spPr>
        <a:xfrm flipV="1">
          <a:off x="12302840" y="4869871"/>
          <a:ext cx="1" cy="202044"/>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325585</xdr:colOff>
      <xdr:row>25</xdr:row>
      <xdr:rowOff>125843</xdr:rowOff>
    </xdr:from>
    <xdr:to>
      <xdr:col>17</xdr:col>
      <xdr:colOff>353295</xdr:colOff>
      <xdr:row>25</xdr:row>
      <xdr:rowOff>132770</xdr:rowOff>
    </xdr:to>
    <xdr:cxnSp macro="">
      <xdr:nvCxnSpPr>
        <xdr:cNvPr id="19" name="Straight Connector 18"/>
        <xdr:cNvCxnSpPr/>
      </xdr:nvCxnSpPr>
      <xdr:spPr>
        <a:xfrm>
          <a:off x="11727876" y="5078843"/>
          <a:ext cx="574964" cy="6927"/>
        </a:xfrm>
        <a:prstGeom prst="line">
          <a:avLst/>
        </a:prstGeom>
        <a:ln>
          <a:solidFill>
            <a:sysClr val="windowText" lastClr="00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367160</xdr:colOff>
      <xdr:row>24</xdr:row>
      <xdr:rowOff>152395</xdr:rowOff>
    </xdr:from>
    <xdr:to>
      <xdr:col>23</xdr:col>
      <xdr:colOff>367161</xdr:colOff>
      <xdr:row>25</xdr:row>
      <xdr:rowOff>174330</xdr:rowOff>
    </xdr:to>
    <xdr:cxnSp macro="">
      <xdr:nvCxnSpPr>
        <xdr:cNvPr id="20" name="Straight Connector 19"/>
        <xdr:cNvCxnSpPr/>
      </xdr:nvCxnSpPr>
      <xdr:spPr>
        <a:xfrm flipV="1">
          <a:off x="14394887" y="4925286"/>
          <a:ext cx="1" cy="202044"/>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318668</xdr:colOff>
      <xdr:row>25</xdr:row>
      <xdr:rowOff>181258</xdr:rowOff>
    </xdr:from>
    <xdr:to>
      <xdr:col>23</xdr:col>
      <xdr:colOff>367160</xdr:colOff>
      <xdr:row>25</xdr:row>
      <xdr:rowOff>188185</xdr:rowOff>
    </xdr:to>
    <xdr:cxnSp macro="">
      <xdr:nvCxnSpPr>
        <xdr:cNvPr id="21" name="Straight Connector 20"/>
        <xdr:cNvCxnSpPr/>
      </xdr:nvCxnSpPr>
      <xdr:spPr>
        <a:xfrm>
          <a:off x="13819923" y="5134258"/>
          <a:ext cx="574964" cy="6927"/>
        </a:xfrm>
        <a:prstGeom prst="line">
          <a:avLst/>
        </a:prstGeom>
        <a:ln>
          <a:solidFill>
            <a:sysClr val="windowText" lastClr="00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1025249</xdr:colOff>
      <xdr:row>94</xdr:row>
      <xdr:rowOff>180107</xdr:rowOff>
    </xdr:from>
    <xdr:to>
      <xdr:col>4</xdr:col>
      <xdr:colOff>156568</xdr:colOff>
      <xdr:row>96</xdr:row>
      <xdr:rowOff>34631</xdr:rowOff>
    </xdr:to>
    <xdr:sp macro="" textlink="">
      <xdr:nvSpPr>
        <xdr:cNvPr id="16" name="Multiply 15"/>
        <xdr:cNvSpPr/>
      </xdr:nvSpPr>
      <xdr:spPr>
        <a:xfrm>
          <a:off x="3775376" y="16750143"/>
          <a:ext cx="260465" cy="270161"/>
        </a:xfrm>
        <a:prstGeom prst="mathMultiply">
          <a:avLst/>
        </a:prstGeom>
        <a:solidFill>
          <a:schemeClr val="tx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568048</xdr:colOff>
      <xdr:row>95</xdr:row>
      <xdr:rowOff>96976</xdr:rowOff>
    </xdr:from>
    <xdr:to>
      <xdr:col>10</xdr:col>
      <xdr:colOff>788328</xdr:colOff>
      <xdr:row>95</xdr:row>
      <xdr:rowOff>96976</xdr:rowOff>
    </xdr:to>
    <xdr:cxnSp macro="">
      <xdr:nvCxnSpPr>
        <xdr:cNvPr id="17" name="Straight Connector 16"/>
        <xdr:cNvCxnSpPr/>
      </xdr:nvCxnSpPr>
      <xdr:spPr>
        <a:xfrm>
          <a:off x="7467612" y="16874831"/>
          <a:ext cx="220280"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568048</xdr:colOff>
      <xdr:row>95</xdr:row>
      <xdr:rowOff>180105</xdr:rowOff>
    </xdr:from>
    <xdr:to>
      <xdr:col>10</xdr:col>
      <xdr:colOff>788328</xdr:colOff>
      <xdr:row>95</xdr:row>
      <xdr:rowOff>180105</xdr:rowOff>
    </xdr:to>
    <xdr:cxnSp macro="">
      <xdr:nvCxnSpPr>
        <xdr:cNvPr id="22" name="Straight Connector 21"/>
        <xdr:cNvCxnSpPr/>
      </xdr:nvCxnSpPr>
      <xdr:spPr>
        <a:xfrm>
          <a:off x="7467612" y="16957960"/>
          <a:ext cx="220280"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297873</xdr:colOff>
      <xdr:row>197</xdr:row>
      <xdr:rowOff>83128</xdr:rowOff>
    </xdr:from>
    <xdr:to>
      <xdr:col>16</xdr:col>
      <xdr:colOff>363682</xdr:colOff>
      <xdr:row>197</xdr:row>
      <xdr:rowOff>100447</xdr:rowOff>
    </xdr:to>
    <xdr:cxnSp macro="">
      <xdr:nvCxnSpPr>
        <xdr:cNvPr id="3" name="Straight Connector 2"/>
        <xdr:cNvCxnSpPr/>
      </xdr:nvCxnSpPr>
      <xdr:spPr>
        <a:xfrm>
          <a:off x="7772400" y="28429528"/>
          <a:ext cx="3695700" cy="17319"/>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312116</xdr:colOff>
      <xdr:row>25</xdr:row>
      <xdr:rowOff>40411</xdr:rowOff>
    </xdr:from>
    <xdr:to>
      <xdr:col>16</xdr:col>
      <xdr:colOff>353291</xdr:colOff>
      <xdr:row>197</xdr:row>
      <xdr:rowOff>83127</xdr:rowOff>
    </xdr:to>
    <xdr:cxnSp macro="">
      <xdr:nvCxnSpPr>
        <xdr:cNvPr id="4" name="Straight Connector 3"/>
        <xdr:cNvCxnSpPr/>
      </xdr:nvCxnSpPr>
      <xdr:spPr>
        <a:xfrm flipH="1" flipV="1">
          <a:off x="11416534" y="5111175"/>
          <a:ext cx="41175" cy="23318352"/>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235528</xdr:colOff>
      <xdr:row>260</xdr:row>
      <xdr:rowOff>81974</xdr:rowOff>
    </xdr:from>
    <xdr:to>
      <xdr:col>20</xdr:col>
      <xdr:colOff>274782</xdr:colOff>
      <xdr:row>260</xdr:row>
      <xdr:rowOff>96982</xdr:rowOff>
    </xdr:to>
    <xdr:cxnSp macro="">
      <xdr:nvCxnSpPr>
        <xdr:cNvPr id="5" name="Straight Connector 4"/>
        <xdr:cNvCxnSpPr/>
      </xdr:nvCxnSpPr>
      <xdr:spPr>
        <a:xfrm flipV="1">
          <a:off x="4336473" y="32383847"/>
          <a:ext cx="8158018" cy="15008"/>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237066</xdr:colOff>
      <xdr:row>24</xdr:row>
      <xdr:rowOff>152399</xdr:rowOff>
    </xdr:from>
    <xdr:to>
      <xdr:col>25</xdr:col>
      <xdr:colOff>309033</xdr:colOff>
      <xdr:row>262</xdr:row>
      <xdr:rowOff>84667</xdr:rowOff>
    </xdr:to>
    <xdr:cxnSp macro="">
      <xdr:nvCxnSpPr>
        <xdr:cNvPr id="6" name="Straight Connector 5"/>
        <xdr:cNvCxnSpPr/>
      </xdr:nvCxnSpPr>
      <xdr:spPr>
        <a:xfrm flipV="1">
          <a:off x="17390533" y="5537199"/>
          <a:ext cx="71967" cy="34340801"/>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263236</xdr:colOff>
      <xdr:row>25</xdr:row>
      <xdr:rowOff>1</xdr:rowOff>
    </xdr:from>
    <xdr:to>
      <xdr:col>20</xdr:col>
      <xdr:colOff>304800</xdr:colOff>
      <xdr:row>260</xdr:row>
      <xdr:rowOff>96982</xdr:rowOff>
    </xdr:to>
    <xdr:cxnSp macro="">
      <xdr:nvCxnSpPr>
        <xdr:cNvPr id="9" name="Straight Connector 8"/>
        <xdr:cNvCxnSpPr/>
      </xdr:nvCxnSpPr>
      <xdr:spPr>
        <a:xfrm flipV="1">
          <a:off x="14207836" y="5070765"/>
          <a:ext cx="41564" cy="27535908"/>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889000</xdr:colOff>
      <xdr:row>215</xdr:row>
      <xdr:rowOff>88900</xdr:rowOff>
    </xdr:from>
    <xdr:to>
      <xdr:col>30</xdr:col>
      <xdr:colOff>457200</xdr:colOff>
      <xdr:row>215</xdr:row>
      <xdr:rowOff>101600</xdr:rowOff>
    </xdr:to>
    <xdr:cxnSp macro="">
      <xdr:nvCxnSpPr>
        <xdr:cNvPr id="11" name="Straight Connector 10"/>
        <xdr:cNvCxnSpPr/>
      </xdr:nvCxnSpPr>
      <xdr:spPr>
        <a:xfrm flipV="1">
          <a:off x="889000" y="39674800"/>
          <a:ext cx="18113375"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469900</xdr:colOff>
      <xdr:row>73</xdr:row>
      <xdr:rowOff>190501</xdr:rowOff>
    </xdr:from>
    <xdr:to>
      <xdr:col>30</xdr:col>
      <xdr:colOff>474134</xdr:colOff>
      <xdr:row>215</xdr:row>
      <xdr:rowOff>84667</xdr:rowOff>
    </xdr:to>
    <xdr:cxnSp macro="">
      <xdr:nvCxnSpPr>
        <xdr:cNvPr id="12" name="Straight Connector 11"/>
        <xdr:cNvCxnSpPr/>
      </xdr:nvCxnSpPr>
      <xdr:spPr>
        <a:xfrm flipH="1" flipV="1">
          <a:off x="20806833" y="15481301"/>
          <a:ext cx="4234" cy="17470966"/>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389466</xdr:colOff>
      <xdr:row>73</xdr:row>
      <xdr:rowOff>152401</xdr:rowOff>
    </xdr:from>
    <xdr:to>
      <xdr:col>34</xdr:col>
      <xdr:colOff>393700</xdr:colOff>
      <xdr:row>215</xdr:row>
      <xdr:rowOff>118533</xdr:rowOff>
    </xdr:to>
    <xdr:cxnSp macro="">
      <xdr:nvCxnSpPr>
        <xdr:cNvPr id="13" name="Straight Connector 12"/>
        <xdr:cNvCxnSpPr/>
      </xdr:nvCxnSpPr>
      <xdr:spPr>
        <a:xfrm flipV="1">
          <a:off x="23588133" y="15443201"/>
          <a:ext cx="4234" cy="17542932"/>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457200</xdr:colOff>
      <xdr:row>215</xdr:row>
      <xdr:rowOff>101600</xdr:rowOff>
    </xdr:from>
    <xdr:to>
      <xdr:col>34</xdr:col>
      <xdr:colOff>393700</xdr:colOff>
      <xdr:row>215</xdr:row>
      <xdr:rowOff>127000</xdr:rowOff>
    </xdr:to>
    <xdr:cxnSp macro="">
      <xdr:nvCxnSpPr>
        <xdr:cNvPr id="14" name="Straight Connector 13"/>
        <xdr:cNvCxnSpPr/>
      </xdr:nvCxnSpPr>
      <xdr:spPr>
        <a:xfrm>
          <a:off x="19002375" y="39687500"/>
          <a:ext cx="2441575"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789720</xdr:colOff>
      <xdr:row>94</xdr:row>
      <xdr:rowOff>180111</xdr:rowOff>
    </xdr:from>
    <xdr:to>
      <xdr:col>2</xdr:col>
      <xdr:colOff>1050185</xdr:colOff>
      <xdr:row>96</xdr:row>
      <xdr:rowOff>2</xdr:rowOff>
    </xdr:to>
    <xdr:sp macro="" textlink="">
      <xdr:nvSpPr>
        <xdr:cNvPr id="15" name="Multiply 14"/>
        <xdr:cNvSpPr/>
      </xdr:nvSpPr>
      <xdr:spPr>
        <a:xfrm>
          <a:off x="3539847" y="17699184"/>
          <a:ext cx="260465" cy="235527"/>
        </a:xfrm>
        <a:prstGeom prst="mathMultiply">
          <a:avLst/>
        </a:prstGeom>
        <a:solidFill>
          <a:schemeClr val="tx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346365</xdr:colOff>
      <xdr:row>95</xdr:row>
      <xdr:rowOff>69273</xdr:rowOff>
    </xdr:from>
    <xdr:to>
      <xdr:col>10</xdr:col>
      <xdr:colOff>559725</xdr:colOff>
      <xdr:row>95</xdr:row>
      <xdr:rowOff>69273</xdr:rowOff>
    </xdr:to>
    <xdr:cxnSp macro="">
      <xdr:nvCxnSpPr>
        <xdr:cNvPr id="16" name="Straight Connector 15"/>
        <xdr:cNvCxnSpPr/>
      </xdr:nvCxnSpPr>
      <xdr:spPr>
        <a:xfrm>
          <a:off x="6691747" y="17796164"/>
          <a:ext cx="213360"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346365</xdr:colOff>
      <xdr:row>95</xdr:row>
      <xdr:rowOff>153093</xdr:rowOff>
    </xdr:from>
    <xdr:to>
      <xdr:col>10</xdr:col>
      <xdr:colOff>559725</xdr:colOff>
      <xdr:row>95</xdr:row>
      <xdr:rowOff>153093</xdr:rowOff>
    </xdr:to>
    <xdr:cxnSp macro="">
      <xdr:nvCxnSpPr>
        <xdr:cNvPr id="18" name="Straight Connector 17"/>
        <xdr:cNvCxnSpPr/>
      </xdr:nvCxnSpPr>
      <xdr:spPr>
        <a:xfrm>
          <a:off x="6691747" y="17879984"/>
          <a:ext cx="213360"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346366</xdr:colOff>
      <xdr:row>24</xdr:row>
      <xdr:rowOff>159328</xdr:rowOff>
    </xdr:from>
    <xdr:to>
      <xdr:col>17</xdr:col>
      <xdr:colOff>346367</xdr:colOff>
      <xdr:row>25</xdr:row>
      <xdr:rowOff>181263</xdr:rowOff>
    </xdr:to>
    <xdr:cxnSp macro="">
      <xdr:nvCxnSpPr>
        <xdr:cNvPr id="28" name="Straight Connector 27"/>
        <xdr:cNvCxnSpPr/>
      </xdr:nvCxnSpPr>
      <xdr:spPr>
        <a:xfrm flipV="1">
          <a:off x="13542821" y="5049983"/>
          <a:ext cx="1" cy="202044"/>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318657</xdr:colOff>
      <xdr:row>25</xdr:row>
      <xdr:rowOff>188191</xdr:rowOff>
    </xdr:from>
    <xdr:to>
      <xdr:col>17</xdr:col>
      <xdr:colOff>346366</xdr:colOff>
      <xdr:row>25</xdr:row>
      <xdr:rowOff>195118</xdr:rowOff>
    </xdr:to>
    <xdr:cxnSp macro="">
      <xdr:nvCxnSpPr>
        <xdr:cNvPr id="29" name="Straight Connector 28"/>
        <xdr:cNvCxnSpPr/>
      </xdr:nvCxnSpPr>
      <xdr:spPr>
        <a:xfrm>
          <a:off x="12967857" y="5258955"/>
          <a:ext cx="574964" cy="6927"/>
        </a:xfrm>
        <a:prstGeom prst="line">
          <a:avLst/>
        </a:prstGeom>
        <a:ln>
          <a:solidFill>
            <a:sysClr val="windowText" lastClr="00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353291</xdr:colOff>
      <xdr:row>24</xdr:row>
      <xdr:rowOff>173183</xdr:rowOff>
    </xdr:from>
    <xdr:to>
      <xdr:col>23</xdr:col>
      <xdr:colOff>353292</xdr:colOff>
      <xdr:row>25</xdr:row>
      <xdr:rowOff>195118</xdr:rowOff>
    </xdr:to>
    <xdr:cxnSp macro="">
      <xdr:nvCxnSpPr>
        <xdr:cNvPr id="30" name="Straight Connector 29"/>
        <xdr:cNvCxnSpPr/>
      </xdr:nvCxnSpPr>
      <xdr:spPr>
        <a:xfrm flipV="1">
          <a:off x="14824364" y="5063838"/>
          <a:ext cx="1" cy="202044"/>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304800</xdr:colOff>
      <xdr:row>25</xdr:row>
      <xdr:rowOff>202046</xdr:rowOff>
    </xdr:from>
    <xdr:to>
      <xdr:col>23</xdr:col>
      <xdr:colOff>353291</xdr:colOff>
      <xdr:row>26</xdr:row>
      <xdr:rowOff>1155</xdr:rowOff>
    </xdr:to>
    <xdr:cxnSp macro="">
      <xdr:nvCxnSpPr>
        <xdr:cNvPr id="31" name="Straight Connector 30"/>
        <xdr:cNvCxnSpPr/>
      </xdr:nvCxnSpPr>
      <xdr:spPr>
        <a:xfrm>
          <a:off x="14249400" y="5272810"/>
          <a:ext cx="574964" cy="6927"/>
        </a:xfrm>
        <a:prstGeom prst="line">
          <a:avLst/>
        </a:prstGeom>
        <a:ln>
          <a:solidFill>
            <a:sysClr val="windowText" lastClr="00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207818</xdr:colOff>
      <xdr:row>198</xdr:row>
      <xdr:rowOff>81973</xdr:rowOff>
    </xdr:from>
    <xdr:to>
      <xdr:col>16</xdr:col>
      <xdr:colOff>359064</xdr:colOff>
      <xdr:row>198</xdr:row>
      <xdr:rowOff>90055</xdr:rowOff>
    </xdr:to>
    <xdr:cxnSp macro="">
      <xdr:nvCxnSpPr>
        <xdr:cNvPr id="3" name="Straight Connector 2"/>
        <xdr:cNvCxnSpPr/>
      </xdr:nvCxnSpPr>
      <xdr:spPr>
        <a:xfrm flipV="1">
          <a:off x="7779327" y="28532282"/>
          <a:ext cx="3601028" cy="8082"/>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289022</xdr:colOff>
      <xdr:row>24</xdr:row>
      <xdr:rowOff>144322</xdr:rowOff>
    </xdr:from>
    <xdr:to>
      <xdr:col>16</xdr:col>
      <xdr:colOff>339436</xdr:colOff>
      <xdr:row>198</xdr:row>
      <xdr:rowOff>96982</xdr:rowOff>
    </xdr:to>
    <xdr:cxnSp macro="">
      <xdr:nvCxnSpPr>
        <xdr:cNvPr id="4" name="Straight Connector 3"/>
        <xdr:cNvCxnSpPr/>
      </xdr:nvCxnSpPr>
      <xdr:spPr>
        <a:xfrm flipH="1" flipV="1">
          <a:off x="11310313" y="4875649"/>
          <a:ext cx="50414" cy="23671642"/>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96982</xdr:colOff>
      <xdr:row>264</xdr:row>
      <xdr:rowOff>83127</xdr:rowOff>
    </xdr:from>
    <xdr:to>
      <xdr:col>20</xdr:col>
      <xdr:colOff>368300</xdr:colOff>
      <xdr:row>264</xdr:row>
      <xdr:rowOff>88900</xdr:rowOff>
    </xdr:to>
    <xdr:cxnSp macro="">
      <xdr:nvCxnSpPr>
        <xdr:cNvPr id="5" name="Straight Connector 4"/>
        <xdr:cNvCxnSpPr/>
      </xdr:nvCxnSpPr>
      <xdr:spPr>
        <a:xfrm>
          <a:off x="11229109" y="33195491"/>
          <a:ext cx="1566718" cy="5773"/>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262466</xdr:colOff>
      <xdr:row>25</xdr:row>
      <xdr:rowOff>0</xdr:rowOff>
    </xdr:from>
    <xdr:to>
      <xdr:col>25</xdr:col>
      <xdr:colOff>266700</xdr:colOff>
      <xdr:row>264</xdr:row>
      <xdr:rowOff>80436</xdr:rowOff>
    </xdr:to>
    <xdr:cxnSp macro="">
      <xdr:nvCxnSpPr>
        <xdr:cNvPr id="6" name="Straight Connector 5"/>
        <xdr:cNvCxnSpPr/>
      </xdr:nvCxnSpPr>
      <xdr:spPr>
        <a:xfrm flipV="1">
          <a:off x="15261166" y="5867400"/>
          <a:ext cx="4234" cy="36453236"/>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304800</xdr:colOff>
      <xdr:row>25</xdr:row>
      <xdr:rowOff>0</xdr:rowOff>
    </xdr:from>
    <xdr:to>
      <xdr:col>20</xdr:col>
      <xdr:colOff>338667</xdr:colOff>
      <xdr:row>264</xdr:row>
      <xdr:rowOff>84667</xdr:rowOff>
    </xdr:to>
    <xdr:cxnSp macro="">
      <xdr:nvCxnSpPr>
        <xdr:cNvPr id="9" name="Straight Connector 8"/>
        <xdr:cNvCxnSpPr/>
      </xdr:nvCxnSpPr>
      <xdr:spPr>
        <a:xfrm flipH="1" flipV="1">
          <a:off x="16865600" y="5554133"/>
          <a:ext cx="33867" cy="34425467"/>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889000</xdr:colOff>
      <xdr:row>217</xdr:row>
      <xdr:rowOff>88900</xdr:rowOff>
    </xdr:from>
    <xdr:to>
      <xdr:col>30</xdr:col>
      <xdr:colOff>457200</xdr:colOff>
      <xdr:row>217</xdr:row>
      <xdr:rowOff>101600</xdr:rowOff>
    </xdr:to>
    <xdr:cxnSp macro="">
      <xdr:nvCxnSpPr>
        <xdr:cNvPr id="11" name="Straight Connector 10"/>
        <xdr:cNvCxnSpPr/>
      </xdr:nvCxnSpPr>
      <xdr:spPr>
        <a:xfrm flipV="1">
          <a:off x="889000" y="34975800"/>
          <a:ext cx="17335500"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457200</xdr:colOff>
      <xdr:row>73</xdr:row>
      <xdr:rowOff>190501</xdr:rowOff>
    </xdr:from>
    <xdr:to>
      <xdr:col>30</xdr:col>
      <xdr:colOff>469900</xdr:colOff>
      <xdr:row>217</xdr:row>
      <xdr:rowOff>84667</xdr:rowOff>
    </xdr:to>
    <xdr:cxnSp macro="">
      <xdr:nvCxnSpPr>
        <xdr:cNvPr id="12" name="Straight Connector 11"/>
        <xdr:cNvCxnSpPr/>
      </xdr:nvCxnSpPr>
      <xdr:spPr>
        <a:xfrm flipV="1">
          <a:off x="20794133" y="15481301"/>
          <a:ext cx="12700" cy="17521766"/>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389466</xdr:colOff>
      <xdr:row>73</xdr:row>
      <xdr:rowOff>152401</xdr:rowOff>
    </xdr:from>
    <xdr:to>
      <xdr:col>34</xdr:col>
      <xdr:colOff>393700</xdr:colOff>
      <xdr:row>217</xdr:row>
      <xdr:rowOff>118533</xdr:rowOff>
    </xdr:to>
    <xdr:cxnSp macro="">
      <xdr:nvCxnSpPr>
        <xdr:cNvPr id="13" name="Straight Connector 12"/>
        <xdr:cNvCxnSpPr/>
      </xdr:nvCxnSpPr>
      <xdr:spPr>
        <a:xfrm flipV="1">
          <a:off x="23588133" y="15443201"/>
          <a:ext cx="4234" cy="17593732"/>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457200</xdr:colOff>
      <xdr:row>217</xdr:row>
      <xdr:rowOff>101600</xdr:rowOff>
    </xdr:from>
    <xdr:to>
      <xdr:col>34</xdr:col>
      <xdr:colOff>393700</xdr:colOff>
      <xdr:row>217</xdr:row>
      <xdr:rowOff>127000</xdr:rowOff>
    </xdr:to>
    <xdr:cxnSp macro="">
      <xdr:nvCxnSpPr>
        <xdr:cNvPr id="14" name="Straight Connector 13"/>
        <xdr:cNvCxnSpPr/>
      </xdr:nvCxnSpPr>
      <xdr:spPr>
        <a:xfrm>
          <a:off x="19002375" y="39687500"/>
          <a:ext cx="2441575"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533400</xdr:colOff>
      <xdr:row>94</xdr:row>
      <xdr:rowOff>187053</xdr:rowOff>
    </xdr:from>
    <xdr:to>
      <xdr:col>2</xdr:col>
      <xdr:colOff>793865</xdr:colOff>
      <xdr:row>96</xdr:row>
      <xdr:rowOff>13870</xdr:rowOff>
    </xdr:to>
    <xdr:sp macro="" textlink="">
      <xdr:nvSpPr>
        <xdr:cNvPr id="15" name="Multiply 14"/>
        <xdr:cNvSpPr/>
      </xdr:nvSpPr>
      <xdr:spPr>
        <a:xfrm>
          <a:off x="3276600" y="16923344"/>
          <a:ext cx="260465" cy="242453"/>
        </a:xfrm>
        <a:prstGeom prst="mathMultiply">
          <a:avLst/>
        </a:prstGeom>
        <a:solidFill>
          <a:schemeClr val="tx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422556</xdr:colOff>
      <xdr:row>95</xdr:row>
      <xdr:rowOff>69273</xdr:rowOff>
    </xdr:from>
    <xdr:to>
      <xdr:col>10</xdr:col>
      <xdr:colOff>665018</xdr:colOff>
      <xdr:row>95</xdr:row>
      <xdr:rowOff>69289</xdr:rowOff>
    </xdr:to>
    <xdr:cxnSp macro="">
      <xdr:nvCxnSpPr>
        <xdr:cNvPr id="16" name="Straight Connector 15"/>
        <xdr:cNvCxnSpPr/>
      </xdr:nvCxnSpPr>
      <xdr:spPr>
        <a:xfrm flipV="1">
          <a:off x="6871847" y="16805564"/>
          <a:ext cx="242462" cy="16"/>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422557</xdr:colOff>
      <xdr:row>95</xdr:row>
      <xdr:rowOff>145473</xdr:rowOff>
    </xdr:from>
    <xdr:to>
      <xdr:col>10</xdr:col>
      <xdr:colOff>678872</xdr:colOff>
      <xdr:row>95</xdr:row>
      <xdr:rowOff>146181</xdr:rowOff>
    </xdr:to>
    <xdr:cxnSp macro="">
      <xdr:nvCxnSpPr>
        <xdr:cNvPr id="17" name="Straight Connector 16"/>
        <xdr:cNvCxnSpPr/>
      </xdr:nvCxnSpPr>
      <xdr:spPr>
        <a:xfrm flipV="1">
          <a:off x="6871848" y="16881764"/>
          <a:ext cx="256315" cy="708"/>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332510</xdr:colOff>
      <xdr:row>24</xdr:row>
      <xdr:rowOff>166255</xdr:rowOff>
    </xdr:from>
    <xdr:to>
      <xdr:col>17</xdr:col>
      <xdr:colOff>332511</xdr:colOff>
      <xdr:row>25</xdr:row>
      <xdr:rowOff>188190</xdr:rowOff>
    </xdr:to>
    <xdr:cxnSp macro="">
      <xdr:nvCxnSpPr>
        <xdr:cNvPr id="27" name="Straight Connector 26"/>
        <xdr:cNvCxnSpPr/>
      </xdr:nvCxnSpPr>
      <xdr:spPr>
        <a:xfrm flipV="1">
          <a:off x="11901055" y="4897582"/>
          <a:ext cx="1" cy="202044"/>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304801</xdr:colOff>
      <xdr:row>25</xdr:row>
      <xdr:rowOff>195118</xdr:rowOff>
    </xdr:from>
    <xdr:to>
      <xdr:col>17</xdr:col>
      <xdr:colOff>332510</xdr:colOff>
      <xdr:row>25</xdr:row>
      <xdr:rowOff>202045</xdr:rowOff>
    </xdr:to>
    <xdr:cxnSp macro="">
      <xdr:nvCxnSpPr>
        <xdr:cNvPr id="28" name="Straight Connector 27"/>
        <xdr:cNvCxnSpPr/>
      </xdr:nvCxnSpPr>
      <xdr:spPr>
        <a:xfrm>
          <a:off x="11326092" y="5106554"/>
          <a:ext cx="574963" cy="6927"/>
        </a:xfrm>
        <a:prstGeom prst="line">
          <a:avLst/>
        </a:prstGeom>
        <a:ln>
          <a:solidFill>
            <a:sysClr val="windowText" lastClr="00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367143</xdr:colOff>
      <xdr:row>25</xdr:row>
      <xdr:rowOff>6927</xdr:rowOff>
    </xdr:from>
    <xdr:to>
      <xdr:col>23</xdr:col>
      <xdr:colOff>367144</xdr:colOff>
      <xdr:row>26</xdr:row>
      <xdr:rowOff>1152</xdr:rowOff>
    </xdr:to>
    <xdr:cxnSp macro="">
      <xdr:nvCxnSpPr>
        <xdr:cNvPr id="29" name="Straight Connector 28"/>
        <xdr:cNvCxnSpPr/>
      </xdr:nvCxnSpPr>
      <xdr:spPr>
        <a:xfrm flipV="1">
          <a:off x="13210307" y="4918363"/>
          <a:ext cx="1" cy="202044"/>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318652</xdr:colOff>
      <xdr:row>26</xdr:row>
      <xdr:rowOff>8080</xdr:rowOff>
    </xdr:from>
    <xdr:to>
      <xdr:col>23</xdr:col>
      <xdr:colOff>367143</xdr:colOff>
      <xdr:row>26</xdr:row>
      <xdr:rowOff>15007</xdr:rowOff>
    </xdr:to>
    <xdr:cxnSp macro="">
      <xdr:nvCxnSpPr>
        <xdr:cNvPr id="30" name="Straight Connector 29"/>
        <xdr:cNvCxnSpPr/>
      </xdr:nvCxnSpPr>
      <xdr:spPr>
        <a:xfrm>
          <a:off x="12635343" y="5127335"/>
          <a:ext cx="574964" cy="6927"/>
        </a:xfrm>
        <a:prstGeom prst="line">
          <a:avLst/>
        </a:prstGeom>
        <a:ln>
          <a:solidFill>
            <a:sysClr val="windowText" lastClr="00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82068</xdr:colOff>
      <xdr:row>22</xdr:row>
      <xdr:rowOff>152400</xdr:rowOff>
    </xdr:from>
    <xdr:ext cx="7072044" cy="3070997"/>
    <xdr:pic>
      <xdr:nvPicPr>
        <xdr:cNvPr id="2" name="Picture 1"/>
        <xdr:cNvPicPr>
          <a:picLocks noChangeAspect="1"/>
        </xdr:cNvPicPr>
      </xdr:nvPicPr>
      <xdr:blipFill>
        <a:blip xmlns:r="http://schemas.openxmlformats.org/officeDocument/2006/relationships" r:embed="rId1"/>
        <a:stretch>
          <a:fillRect/>
        </a:stretch>
      </xdr:blipFill>
      <xdr:spPr>
        <a:xfrm>
          <a:off x="82068" y="3916680"/>
          <a:ext cx="7072044" cy="3070997"/>
        </a:xfrm>
        <a:prstGeom prst="rect">
          <a:avLst/>
        </a:prstGeom>
      </xdr:spPr>
    </xdr:pic>
    <xdr:clientData/>
  </xdr:oneCellAnchor>
  <xdr:oneCellAnchor>
    <xdr:from>
      <xdr:col>3</xdr:col>
      <xdr:colOff>1531621</xdr:colOff>
      <xdr:row>42</xdr:row>
      <xdr:rowOff>0</xdr:rowOff>
    </xdr:from>
    <xdr:ext cx="45719" cy="264560"/>
    <xdr:sp macro="" textlink="">
      <xdr:nvSpPr>
        <xdr:cNvPr id="3" name="TextBox 2"/>
        <xdr:cNvSpPr txBox="1"/>
      </xdr:nvSpPr>
      <xdr:spPr>
        <a:xfrm>
          <a:off x="4892041" y="7421880"/>
          <a:ext cx="457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1531621</xdr:colOff>
      <xdr:row>42</xdr:row>
      <xdr:rowOff>0</xdr:rowOff>
    </xdr:from>
    <xdr:ext cx="45719" cy="264560"/>
    <xdr:sp macro="" textlink="">
      <xdr:nvSpPr>
        <xdr:cNvPr id="4" name="TextBox 3"/>
        <xdr:cNvSpPr txBox="1"/>
      </xdr:nvSpPr>
      <xdr:spPr>
        <a:xfrm>
          <a:off x="4892041" y="7421880"/>
          <a:ext cx="457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1531621</xdr:colOff>
      <xdr:row>42</xdr:row>
      <xdr:rowOff>0</xdr:rowOff>
    </xdr:from>
    <xdr:ext cx="45719" cy="264560"/>
    <xdr:sp macro="" textlink="">
      <xdr:nvSpPr>
        <xdr:cNvPr id="5" name="TextBox 4"/>
        <xdr:cNvSpPr txBox="1"/>
      </xdr:nvSpPr>
      <xdr:spPr>
        <a:xfrm>
          <a:off x="4892041" y="7421880"/>
          <a:ext cx="457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1531621</xdr:colOff>
      <xdr:row>42</xdr:row>
      <xdr:rowOff>0</xdr:rowOff>
    </xdr:from>
    <xdr:ext cx="45719" cy="264560"/>
    <xdr:sp macro="" textlink="">
      <xdr:nvSpPr>
        <xdr:cNvPr id="6" name="TextBox 5"/>
        <xdr:cNvSpPr txBox="1"/>
      </xdr:nvSpPr>
      <xdr:spPr>
        <a:xfrm>
          <a:off x="4892041" y="7421880"/>
          <a:ext cx="457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1531621</xdr:colOff>
      <xdr:row>42</xdr:row>
      <xdr:rowOff>0</xdr:rowOff>
    </xdr:from>
    <xdr:ext cx="45719" cy="264560"/>
    <xdr:sp macro="" textlink="">
      <xdr:nvSpPr>
        <xdr:cNvPr id="7" name="TextBox 6"/>
        <xdr:cNvSpPr txBox="1"/>
      </xdr:nvSpPr>
      <xdr:spPr>
        <a:xfrm>
          <a:off x="4892041" y="7421880"/>
          <a:ext cx="457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3</xdr:col>
      <xdr:colOff>1531621</xdr:colOff>
      <xdr:row>42</xdr:row>
      <xdr:rowOff>0</xdr:rowOff>
    </xdr:from>
    <xdr:ext cx="45719" cy="264560"/>
    <xdr:sp macro="" textlink="">
      <xdr:nvSpPr>
        <xdr:cNvPr id="8" name="TextBox 7"/>
        <xdr:cNvSpPr txBox="1"/>
      </xdr:nvSpPr>
      <xdr:spPr>
        <a:xfrm>
          <a:off x="4892041" y="7421880"/>
          <a:ext cx="4571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25400</xdr:colOff>
      <xdr:row>6</xdr:row>
      <xdr:rowOff>177800</xdr:rowOff>
    </xdr:from>
    <xdr:to>
      <xdr:col>6</xdr:col>
      <xdr:colOff>12700</xdr:colOff>
      <xdr:row>8</xdr:row>
      <xdr:rowOff>247651</xdr:rowOff>
    </xdr:to>
    <xdr:sp macro="" textlink="">
      <xdr:nvSpPr>
        <xdr:cNvPr id="2" name="TextBox 1"/>
        <xdr:cNvSpPr txBox="1"/>
      </xdr:nvSpPr>
      <xdr:spPr>
        <a:xfrm>
          <a:off x="25400" y="1311275"/>
          <a:ext cx="7331075" cy="2022476"/>
        </a:xfrm>
        <a:prstGeom prst="rect">
          <a:avLst/>
        </a:prstGeom>
        <a:solidFill>
          <a:srgbClr val="FFFF8B"/>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u="none">
              <a:solidFill>
                <a:schemeClr val="accent5">
                  <a:lumMod val="50000"/>
                </a:schemeClr>
              </a:solidFill>
            </a:rPr>
            <a:t>The rates above are effective</a:t>
          </a:r>
          <a:r>
            <a:rPr lang="en-US" sz="1100" b="1" u="none" baseline="0">
              <a:solidFill>
                <a:schemeClr val="accent5">
                  <a:lumMod val="50000"/>
                </a:schemeClr>
              </a:solidFill>
            </a:rPr>
            <a:t> 7/1/2023.  </a:t>
          </a:r>
          <a:br>
            <a:rPr lang="en-US" sz="1100" b="1" u="none" baseline="0">
              <a:solidFill>
                <a:schemeClr val="accent5">
                  <a:lumMod val="50000"/>
                </a:schemeClr>
              </a:solidFill>
            </a:rPr>
          </a:br>
          <a:endParaRPr lang="en-US" sz="1100" b="1" u="none">
            <a:solidFill>
              <a:schemeClr val="accent5">
                <a:lumMod val="50000"/>
              </a:schemeClr>
            </a:solidFill>
          </a:endParaRPr>
        </a:p>
        <a:p>
          <a:pPr algn="l"/>
          <a:r>
            <a:rPr lang="en-US" sz="1100" b="1" u="none">
              <a:solidFill>
                <a:schemeClr val="accent5">
                  <a:lumMod val="50000"/>
                </a:schemeClr>
              </a:solidFill>
            </a:rPr>
            <a:t>Enter information in the boxes below.</a:t>
          </a:r>
          <a:r>
            <a:rPr lang="en-US" sz="1100" b="1" u="none" baseline="0">
              <a:solidFill>
                <a:schemeClr val="accent5">
                  <a:lumMod val="50000"/>
                </a:schemeClr>
              </a:solidFill>
            </a:rPr>
            <a:t>  The form then calculates total graduate student compensation (direct compensation, health insurance, and tuition/fees) based on the student's CM effort on the project.</a:t>
          </a:r>
        </a:p>
        <a:p>
          <a:pPr algn="l"/>
          <a:endParaRPr lang="en-US" sz="1100" b="1" u="none" baseline="0">
            <a:solidFill>
              <a:schemeClr val="accent5">
                <a:lumMod val="50000"/>
              </a:schemeClr>
            </a:solidFill>
          </a:endParaRPr>
        </a:p>
        <a:p>
          <a:pPr algn="l"/>
          <a:r>
            <a:rPr lang="en-US" sz="1100" b="1" u="none">
              <a:solidFill>
                <a:srgbClr val="FF0000"/>
              </a:solidFill>
            </a:rPr>
            <a:t>Did you choose Yes to the NIH Grad Student question on the yearly budget tab(s)?  </a:t>
          </a:r>
          <a:r>
            <a:rPr lang="en-US" sz="1100" b="1" u="none">
              <a:solidFill>
                <a:schemeClr val="accent5">
                  <a:lumMod val="50000"/>
                </a:schemeClr>
              </a:solidFill>
            </a:rPr>
            <a:t>You must answer Yes so the amounts below  automatically link to your budget tab(s).</a:t>
          </a:r>
        </a:p>
        <a:p>
          <a:pPr algn="l"/>
          <a:endParaRPr lang="en-US" sz="1100" b="1" u="none">
            <a:solidFill>
              <a:schemeClr val="accent5">
                <a:lumMod val="50000"/>
              </a:schemeClr>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1" i="1" baseline="0">
              <a:solidFill>
                <a:schemeClr val="accent5">
                  <a:lumMod val="50000"/>
                </a:schemeClr>
              </a:solidFill>
              <a:effectLst/>
              <a:latin typeface="+mn-lt"/>
              <a:ea typeface="+mn-ea"/>
              <a:cs typeface="+mn-cs"/>
            </a:rPr>
            <a:t>Also, remember that if you answered Yes to the questions about future budget years remaining the same as the Y1 budget, then you only complete grad student info for Y1 below and </a:t>
          </a:r>
          <a:r>
            <a:rPr lang="en-US" sz="1100" b="1" i="1" u="sng" baseline="0">
              <a:solidFill>
                <a:schemeClr val="accent5">
                  <a:lumMod val="50000"/>
                </a:schemeClr>
              </a:solidFill>
              <a:effectLst/>
              <a:latin typeface="+mn-lt"/>
              <a:ea typeface="+mn-ea"/>
              <a:cs typeface="+mn-cs"/>
            </a:rPr>
            <a:t>not</a:t>
          </a:r>
          <a:r>
            <a:rPr lang="en-US" sz="1100" b="1" i="1" baseline="0">
              <a:solidFill>
                <a:schemeClr val="accent5">
                  <a:lumMod val="50000"/>
                </a:schemeClr>
              </a:solidFill>
              <a:effectLst/>
              <a:latin typeface="+mn-lt"/>
              <a:ea typeface="+mn-ea"/>
              <a:cs typeface="+mn-cs"/>
            </a:rPr>
            <a:t> for future years.</a:t>
          </a:r>
          <a:endParaRPr lang="en-US" sz="1100" i="1">
            <a:solidFill>
              <a:schemeClr val="accent5">
                <a:lumMod val="50000"/>
              </a:schemeClr>
            </a:solidFill>
            <a:effectLst/>
          </a:endParaRPr>
        </a:p>
        <a:p>
          <a:pPr algn="l"/>
          <a:endParaRPr lang="en-US" sz="1200" b="1" u="none">
            <a:solidFill>
              <a:schemeClr val="accent5">
                <a:lumMod val="50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76200</xdr:colOff>
      <xdr:row>244</xdr:row>
      <xdr:rowOff>101600</xdr:rowOff>
    </xdr:from>
    <xdr:to>
      <xdr:col>12</xdr:col>
      <xdr:colOff>368300</xdr:colOff>
      <xdr:row>244</xdr:row>
      <xdr:rowOff>114300</xdr:rowOff>
    </xdr:to>
    <xdr:cxnSp macro="">
      <xdr:nvCxnSpPr>
        <xdr:cNvPr id="2" name="Straight Connector 1"/>
        <xdr:cNvCxnSpPr/>
      </xdr:nvCxnSpPr>
      <xdr:spPr>
        <a:xfrm flipV="1">
          <a:off x="6705600" y="39166800"/>
          <a:ext cx="6502400"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203200</xdr:colOff>
      <xdr:row>28</xdr:row>
      <xdr:rowOff>12700</xdr:rowOff>
    </xdr:from>
    <xdr:to>
      <xdr:col>11</xdr:col>
      <xdr:colOff>228600</xdr:colOff>
      <xdr:row>244</xdr:row>
      <xdr:rowOff>88900</xdr:rowOff>
    </xdr:to>
    <xdr:cxnSp macro="">
      <xdr:nvCxnSpPr>
        <xdr:cNvPr id="3" name="Straight Connector 2"/>
        <xdr:cNvCxnSpPr/>
      </xdr:nvCxnSpPr>
      <xdr:spPr>
        <a:xfrm flipV="1">
          <a:off x="12595225" y="5765800"/>
          <a:ext cx="25400" cy="326898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685800</xdr:colOff>
      <xdr:row>252</xdr:row>
      <xdr:rowOff>76200</xdr:rowOff>
    </xdr:from>
    <xdr:to>
      <xdr:col>15</xdr:col>
      <xdr:colOff>330200</xdr:colOff>
      <xdr:row>252</xdr:row>
      <xdr:rowOff>101600</xdr:rowOff>
    </xdr:to>
    <xdr:cxnSp macro="">
      <xdr:nvCxnSpPr>
        <xdr:cNvPr id="4" name="Straight Connector 3"/>
        <xdr:cNvCxnSpPr/>
      </xdr:nvCxnSpPr>
      <xdr:spPr>
        <a:xfrm flipV="1">
          <a:off x="11442700" y="40868600"/>
          <a:ext cx="3251200"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279400</xdr:colOff>
      <xdr:row>28</xdr:row>
      <xdr:rowOff>0</xdr:rowOff>
    </xdr:from>
    <xdr:to>
      <xdr:col>18</xdr:col>
      <xdr:colOff>292100</xdr:colOff>
      <xdr:row>252</xdr:row>
      <xdr:rowOff>88900</xdr:rowOff>
    </xdr:to>
    <xdr:cxnSp macro="">
      <xdr:nvCxnSpPr>
        <xdr:cNvPr id="5" name="Straight Connector 4"/>
        <xdr:cNvCxnSpPr/>
      </xdr:nvCxnSpPr>
      <xdr:spPr>
        <a:xfrm flipV="1">
          <a:off x="15119350" y="5753100"/>
          <a:ext cx="12700" cy="343789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520700</xdr:colOff>
      <xdr:row>245</xdr:row>
      <xdr:rowOff>76200</xdr:rowOff>
    </xdr:from>
    <xdr:to>
      <xdr:col>12</xdr:col>
      <xdr:colOff>406400</xdr:colOff>
      <xdr:row>245</xdr:row>
      <xdr:rowOff>114300</xdr:rowOff>
    </xdr:to>
    <xdr:cxnSp macro="">
      <xdr:nvCxnSpPr>
        <xdr:cNvPr id="6" name="Straight Connector 5"/>
        <xdr:cNvCxnSpPr/>
      </xdr:nvCxnSpPr>
      <xdr:spPr>
        <a:xfrm flipV="1">
          <a:off x="11277600" y="39357300"/>
          <a:ext cx="1968500" cy="381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368300</xdr:colOff>
      <xdr:row>28</xdr:row>
      <xdr:rowOff>0</xdr:rowOff>
    </xdr:from>
    <xdr:to>
      <xdr:col>12</xdr:col>
      <xdr:colOff>393700</xdr:colOff>
      <xdr:row>245</xdr:row>
      <xdr:rowOff>76200</xdr:rowOff>
    </xdr:to>
    <xdr:cxnSp macro="">
      <xdr:nvCxnSpPr>
        <xdr:cNvPr id="7" name="Straight Connector 6"/>
        <xdr:cNvCxnSpPr/>
      </xdr:nvCxnSpPr>
      <xdr:spPr>
        <a:xfrm flipV="1">
          <a:off x="13188950" y="5753100"/>
          <a:ext cx="25400" cy="3289935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304800</xdr:colOff>
      <xdr:row>28</xdr:row>
      <xdr:rowOff>0</xdr:rowOff>
    </xdr:from>
    <xdr:to>
      <xdr:col>15</xdr:col>
      <xdr:colOff>330200</xdr:colOff>
      <xdr:row>252</xdr:row>
      <xdr:rowOff>76200</xdr:rowOff>
    </xdr:to>
    <xdr:cxnSp macro="">
      <xdr:nvCxnSpPr>
        <xdr:cNvPr id="8" name="Straight Connector 7"/>
        <xdr:cNvCxnSpPr/>
      </xdr:nvCxnSpPr>
      <xdr:spPr>
        <a:xfrm flipH="1" flipV="1">
          <a:off x="14630400" y="5753100"/>
          <a:ext cx="25400" cy="343662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330200</xdr:colOff>
      <xdr:row>252</xdr:row>
      <xdr:rowOff>76200</xdr:rowOff>
    </xdr:from>
    <xdr:to>
      <xdr:col>18</xdr:col>
      <xdr:colOff>317500</xdr:colOff>
      <xdr:row>252</xdr:row>
      <xdr:rowOff>76200</xdr:rowOff>
    </xdr:to>
    <xdr:cxnSp macro="">
      <xdr:nvCxnSpPr>
        <xdr:cNvPr id="9" name="Straight Connector 8"/>
        <xdr:cNvCxnSpPr/>
      </xdr:nvCxnSpPr>
      <xdr:spPr>
        <a:xfrm>
          <a:off x="14655800" y="40119300"/>
          <a:ext cx="501650" cy="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889000</xdr:colOff>
      <xdr:row>202</xdr:row>
      <xdr:rowOff>88900</xdr:rowOff>
    </xdr:from>
    <xdr:to>
      <xdr:col>23</xdr:col>
      <xdr:colOff>457200</xdr:colOff>
      <xdr:row>202</xdr:row>
      <xdr:rowOff>101600</xdr:rowOff>
    </xdr:to>
    <xdr:cxnSp macro="">
      <xdr:nvCxnSpPr>
        <xdr:cNvPr id="10" name="Straight Connector 9"/>
        <xdr:cNvCxnSpPr/>
      </xdr:nvCxnSpPr>
      <xdr:spPr>
        <a:xfrm flipV="1">
          <a:off x="889000" y="32759650"/>
          <a:ext cx="17179925"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469900</xdr:colOff>
      <xdr:row>77</xdr:row>
      <xdr:rowOff>190500</xdr:rowOff>
    </xdr:from>
    <xdr:to>
      <xdr:col>23</xdr:col>
      <xdr:colOff>469900</xdr:colOff>
      <xdr:row>254</xdr:row>
      <xdr:rowOff>0</xdr:rowOff>
    </xdr:to>
    <xdr:cxnSp macro="">
      <xdr:nvCxnSpPr>
        <xdr:cNvPr id="11" name="Straight Connector 10"/>
        <xdr:cNvCxnSpPr/>
      </xdr:nvCxnSpPr>
      <xdr:spPr>
        <a:xfrm flipV="1">
          <a:off x="18081625" y="15982950"/>
          <a:ext cx="0" cy="2447925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77</xdr:row>
      <xdr:rowOff>152400</xdr:rowOff>
    </xdr:from>
    <xdr:to>
      <xdr:col>27</xdr:col>
      <xdr:colOff>393700</xdr:colOff>
      <xdr:row>254</xdr:row>
      <xdr:rowOff>0</xdr:rowOff>
    </xdr:to>
    <xdr:cxnSp macro="">
      <xdr:nvCxnSpPr>
        <xdr:cNvPr id="12" name="Straight Connector 11"/>
        <xdr:cNvCxnSpPr/>
      </xdr:nvCxnSpPr>
      <xdr:spPr>
        <a:xfrm flipV="1">
          <a:off x="20497800" y="15944850"/>
          <a:ext cx="12700" cy="2451735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457200</xdr:colOff>
      <xdr:row>202</xdr:row>
      <xdr:rowOff>101600</xdr:rowOff>
    </xdr:from>
    <xdr:to>
      <xdr:col>27</xdr:col>
      <xdr:colOff>393700</xdr:colOff>
      <xdr:row>202</xdr:row>
      <xdr:rowOff>127000</xdr:rowOff>
    </xdr:to>
    <xdr:cxnSp macro="">
      <xdr:nvCxnSpPr>
        <xdr:cNvPr id="13" name="Straight Connector 12"/>
        <xdr:cNvCxnSpPr/>
      </xdr:nvCxnSpPr>
      <xdr:spPr>
        <a:xfrm>
          <a:off x="18068925" y="32772350"/>
          <a:ext cx="2441575"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914400</xdr:colOff>
      <xdr:row>32</xdr:row>
      <xdr:rowOff>38100</xdr:rowOff>
    </xdr:from>
    <xdr:to>
      <xdr:col>2</xdr:col>
      <xdr:colOff>685800</xdr:colOff>
      <xdr:row>34</xdr:row>
      <xdr:rowOff>50800</xdr:rowOff>
    </xdr:to>
    <xdr:sp macro="" textlink="">
      <xdr:nvSpPr>
        <xdr:cNvPr id="15" name="TextBox 14"/>
        <xdr:cNvSpPr txBox="1"/>
      </xdr:nvSpPr>
      <xdr:spPr>
        <a:xfrm>
          <a:off x="2667000" y="6769100"/>
          <a:ext cx="1460500" cy="444500"/>
        </a:xfrm>
        <a:prstGeom prst="rect">
          <a:avLst/>
        </a:prstGeom>
        <a:solidFill>
          <a:schemeClr val="lt1"/>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u="sng">
              <a:solidFill>
                <a:schemeClr val="accent5">
                  <a:lumMod val="50000"/>
                </a:schemeClr>
              </a:solidFill>
            </a:rPr>
            <a:t>Budgeting</a:t>
          </a:r>
          <a:r>
            <a:rPr lang="en-US" sz="1600" b="1" u="sng" baseline="0">
              <a:solidFill>
                <a:schemeClr val="accent5">
                  <a:lumMod val="50000"/>
                </a:schemeClr>
              </a:solidFill>
            </a:rPr>
            <a:t> Tip  </a:t>
          </a:r>
        </a:p>
      </xdr:txBody>
    </xdr:sp>
    <xdr:clientData/>
  </xdr:twoCellAnchor>
  <xdr:twoCellAnchor>
    <xdr:from>
      <xdr:col>1</xdr:col>
      <xdr:colOff>635000</xdr:colOff>
      <xdr:row>34</xdr:row>
      <xdr:rowOff>152400</xdr:rowOff>
    </xdr:from>
    <xdr:to>
      <xdr:col>5</xdr:col>
      <xdr:colOff>266700</xdr:colOff>
      <xdr:row>37</xdr:row>
      <xdr:rowOff>25400</xdr:rowOff>
    </xdr:to>
    <xdr:sp macro="" textlink="">
      <xdr:nvSpPr>
        <xdr:cNvPr id="16" name="Rounded Rectangle 15"/>
        <xdr:cNvSpPr/>
      </xdr:nvSpPr>
      <xdr:spPr>
        <a:xfrm>
          <a:off x="2387600" y="7315200"/>
          <a:ext cx="3810000" cy="520700"/>
        </a:xfrm>
        <a:prstGeom prst="roundRect">
          <a:avLst/>
        </a:prstGeom>
        <a:noFill/>
        <a:ln>
          <a:solidFill>
            <a:schemeClr val="accent5">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850900</xdr:colOff>
      <xdr:row>48</xdr:row>
      <xdr:rowOff>38100</xdr:rowOff>
    </xdr:from>
    <xdr:to>
      <xdr:col>2</xdr:col>
      <xdr:colOff>622300</xdr:colOff>
      <xdr:row>50</xdr:row>
      <xdr:rowOff>50800</xdr:rowOff>
    </xdr:to>
    <xdr:sp macro="" textlink="">
      <xdr:nvSpPr>
        <xdr:cNvPr id="17" name="TextBox 16"/>
        <xdr:cNvSpPr txBox="1"/>
      </xdr:nvSpPr>
      <xdr:spPr>
        <a:xfrm>
          <a:off x="2603500" y="10223500"/>
          <a:ext cx="1460500" cy="444500"/>
        </a:xfrm>
        <a:prstGeom prst="rect">
          <a:avLst/>
        </a:prstGeom>
        <a:solidFill>
          <a:schemeClr val="lt1"/>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u="sng">
              <a:solidFill>
                <a:schemeClr val="accent5">
                  <a:lumMod val="50000"/>
                </a:schemeClr>
              </a:solidFill>
            </a:rPr>
            <a:t>Budgeting</a:t>
          </a:r>
          <a:r>
            <a:rPr lang="en-US" sz="1600" b="1" u="sng" baseline="0">
              <a:solidFill>
                <a:schemeClr val="accent5">
                  <a:lumMod val="50000"/>
                </a:schemeClr>
              </a:solidFill>
            </a:rPr>
            <a:t> Tip  </a:t>
          </a:r>
        </a:p>
      </xdr:txBody>
    </xdr:sp>
    <xdr:clientData/>
  </xdr:twoCellAnchor>
  <xdr:twoCellAnchor>
    <xdr:from>
      <xdr:col>1</xdr:col>
      <xdr:colOff>558800</xdr:colOff>
      <xdr:row>50</xdr:row>
      <xdr:rowOff>152400</xdr:rowOff>
    </xdr:from>
    <xdr:to>
      <xdr:col>5</xdr:col>
      <xdr:colOff>190500</xdr:colOff>
      <xdr:row>53</xdr:row>
      <xdr:rowOff>25400</xdr:rowOff>
    </xdr:to>
    <xdr:sp macro="" textlink="">
      <xdr:nvSpPr>
        <xdr:cNvPr id="18" name="Rounded Rectangle 17"/>
        <xdr:cNvSpPr/>
      </xdr:nvSpPr>
      <xdr:spPr>
        <a:xfrm>
          <a:off x="2311400" y="10769600"/>
          <a:ext cx="3810000" cy="520700"/>
        </a:xfrm>
        <a:prstGeom prst="roundRect">
          <a:avLst/>
        </a:prstGeom>
        <a:noFill/>
        <a:ln>
          <a:solidFill>
            <a:schemeClr val="accent5">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596900</xdr:colOff>
      <xdr:row>61</xdr:row>
      <xdr:rowOff>76200</xdr:rowOff>
    </xdr:from>
    <xdr:to>
      <xdr:col>6</xdr:col>
      <xdr:colOff>558800</xdr:colOff>
      <xdr:row>63</xdr:row>
      <xdr:rowOff>88900</xdr:rowOff>
    </xdr:to>
    <xdr:sp macro="" textlink="">
      <xdr:nvSpPr>
        <xdr:cNvPr id="19" name="TextBox 18"/>
        <xdr:cNvSpPr txBox="1"/>
      </xdr:nvSpPr>
      <xdr:spPr>
        <a:xfrm>
          <a:off x="5727700" y="13068300"/>
          <a:ext cx="1460500" cy="444500"/>
        </a:xfrm>
        <a:prstGeom prst="rect">
          <a:avLst/>
        </a:prstGeom>
        <a:solidFill>
          <a:schemeClr val="lt1"/>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u="sng">
              <a:solidFill>
                <a:schemeClr val="accent5">
                  <a:lumMod val="50000"/>
                </a:schemeClr>
              </a:solidFill>
            </a:rPr>
            <a:t>Budgeting</a:t>
          </a:r>
          <a:r>
            <a:rPr lang="en-US" sz="1600" b="1" u="sng" baseline="0">
              <a:solidFill>
                <a:schemeClr val="accent5">
                  <a:lumMod val="50000"/>
                </a:schemeClr>
              </a:solidFill>
            </a:rPr>
            <a:t> Tip  </a:t>
          </a:r>
        </a:p>
      </xdr:txBody>
    </xdr:sp>
    <xdr:clientData/>
  </xdr:twoCellAnchor>
  <xdr:twoCellAnchor>
    <xdr:from>
      <xdr:col>4</xdr:col>
      <xdr:colOff>533400</xdr:colOff>
      <xdr:row>63</xdr:row>
      <xdr:rowOff>152400</xdr:rowOff>
    </xdr:from>
    <xdr:to>
      <xdr:col>11</xdr:col>
      <xdr:colOff>63500</xdr:colOff>
      <xdr:row>68</xdr:row>
      <xdr:rowOff>12700</xdr:rowOff>
    </xdr:to>
    <xdr:sp macro="" textlink="">
      <xdr:nvSpPr>
        <xdr:cNvPr id="20" name="Rounded Rectangle 19"/>
        <xdr:cNvSpPr/>
      </xdr:nvSpPr>
      <xdr:spPr>
        <a:xfrm>
          <a:off x="5664200" y="13576300"/>
          <a:ext cx="6807200" cy="939800"/>
        </a:xfrm>
        <a:prstGeom prst="roundRect">
          <a:avLst/>
        </a:prstGeom>
        <a:noFill/>
        <a:ln>
          <a:solidFill>
            <a:schemeClr val="accent5">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533400</xdr:colOff>
      <xdr:row>63</xdr:row>
      <xdr:rowOff>152400</xdr:rowOff>
    </xdr:from>
    <xdr:to>
      <xdr:col>5</xdr:col>
      <xdr:colOff>114300</xdr:colOff>
      <xdr:row>63</xdr:row>
      <xdr:rowOff>152400</xdr:rowOff>
    </xdr:to>
    <xdr:cxnSp macro="">
      <xdr:nvCxnSpPr>
        <xdr:cNvPr id="21" name="Straight Connector 20"/>
        <xdr:cNvCxnSpPr/>
      </xdr:nvCxnSpPr>
      <xdr:spPr>
        <a:xfrm flipH="1">
          <a:off x="5664200" y="13576300"/>
          <a:ext cx="381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228600</xdr:colOff>
      <xdr:row>36</xdr:row>
      <xdr:rowOff>12700</xdr:rowOff>
    </xdr:from>
    <xdr:to>
      <xdr:col>1</xdr:col>
      <xdr:colOff>609600</xdr:colOff>
      <xdr:row>36</xdr:row>
      <xdr:rowOff>12700</xdr:rowOff>
    </xdr:to>
    <xdr:cxnSp macro="">
      <xdr:nvCxnSpPr>
        <xdr:cNvPr id="24" name="Straight Connector 23"/>
        <xdr:cNvCxnSpPr/>
      </xdr:nvCxnSpPr>
      <xdr:spPr>
        <a:xfrm flipH="1">
          <a:off x="1981200" y="7607300"/>
          <a:ext cx="381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279400</xdr:colOff>
      <xdr:row>52</xdr:row>
      <xdr:rowOff>0</xdr:rowOff>
    </xdr:from>
    <xdr:to>
      <xdr:col>1</xdr:col>
      <xdr:colOff>546100</xdr:colOff>
      <xdr:row>52</xdr:row>
      <xdr:rowOff>12700</xdr:rowOff>
    </xdr:to>
    <xdr:cxnSp macro="">
      <xdr:nvCxnSpPr>
        <xdr:cNvPr id="25" name="Straight Connector 24"/>
        <xdr:cNvCxnSpPr/>
      </xdr:nvCxnSpPr>
      <xdr:spPr>
        <a:xfrm flipH="1">
          <a:off x="2032000" y="11049000"/>
          <a:ext cx="266700" cy="12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292100</xdr:colOff>
      <xdr:row>66</xdr:row>
      <xdr:rowOff>63500</xdr:rowOff>
    </xdr:from>
    <xdr:to>
      <xdr:col>4</xdr:col>
      <xdr:colOff>508000</xdr:colOff>
      <xdr:row>66</xdr:row>
      <xdr:rowOff>88900</xdr:rowOff>
    </xdr:to>
    <xdr:cxnSp macro="">
      <xdr:nvCxnSpPr>
        <xdr:cNvPr id="26" name="Straight Connector 25"/>
        <xdr:cNvCxnSpPr/>
      </xdr:nvCxnSpPr>
      <xdr:spPr>
        <a:xfrm flipH="1">
          <a:off x="2044700" y="14135100"/>
          <a:ext cx="3594100" cy="25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228600</xdr:colOff>
      <xdr:row>36</xdr:row>
      <xdr:rowOff>12700</xdr:rowOff>
    </xdr:from>
    <xdr:to>
      <xdr:col>1</xdr:col>
      <xdr:colOff>355600</xdr:colOff>
      <xdr:row>101</xdr:row>
      <xdr:rowOff>177800</xdr:rowOff>
    </xdr:to>
    <xdr:cxnSp macro="">
      <xdr:nvCxnSpPr>
        <xdr:cNvPr id="29" name="Straight Connector 28"/>
        <xdr:cNvCxnSpPr/>
      </xdr:nvCxnSpPr>
      <xdr:spPr>
        <a:xfrm>
          <a:off x="1981200" y="7607300"/>
          <a:ext cx="127000" cy="13779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355600</xdr:colOff>
      <xdr:row>101</xdr:row>
      <xdr:rowOff>177800</xdr:rowOff>
    </xdr:from>
    <xdr:to>
      <xdr:col>5</xdr:col>
      <xdr:colOff>533400</xdr:colOff>
      <xdr:row>106</xdr:row>
      <xdr:rowOff>76200</xdr:rowOff>
    </xdr:to>
    <xdr:sp macro="" textlink="">
      <xdr:nvSpPr>
        <xdr:cNvPr id="32" name="TextBox 31"/>
        <xdr:cNvSpPr txBox="1"/>
      </xdr:nvSpPr>
      <xdr:spPr>
        <a:xfrm>
          <a:off x="2108200" y="21386800"/>
          <a:ext cx="4356100" cy="977900"/>
        </a:xfrm>
        <a:prstGeom prst="rect">
          <a:avLst/>
        </a:prstGeom>
        <a:solidFill>
          <a:schemeClr val="lt1"/>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u="sng">
              <a:solidFill>
                <a:schemeClr val="accent5">
                  <a:lumMod val="50000"/>
                </a:schemeClr>
              </a:solidFill>
            </a:rPr>
            <a:t>Budgeting</a:t>
          </a:r>
          <a:r>
            <a:rPr lang="en-US" sz="1600" b="1" u="sng" baseline="0">
              <a:solidFill>
                <a:schemeClr val="accent5">
                  <a:lumMod val="50000"/>
                </a:schemeClr>
              </a:solidFill>
            </a:rPr>
            <a:t> Tip - </a:t>
          </a:r>
        </a:p>
        <a:p>
          <a:r>
            <a:rPr lang="en-US" sz="1600" b="1">
              <a:solidFill>
                <a:schemeClr val="accent5">
                  <a:lumMod val="50000"/>
                </a:schemeClr>
              </a:solidFill>
            </a:rPr>
            <a:t>Quantify items following</a:t>
          </a:r>
          <a:r>
            <a:rPr lang="en-US" sz="1600" b="1" baseline="0">
              <a:solidFill>
                <a:schemeClr val="accent5">
                  <a:lumMod val="50000"/>
                </a:schemeClr>
              </a:solidFill>
            </a:rPr>
            <a:t> examples above.   See formulas in the "Column" column.</a:t>
          </a:r>
        </a:p>
        <a:p>
          <a:endParaRPr lang="en-US" sz="1600" b="1">
            <a:solidFill>
              <a:schemeClr val="accent5">
                <a:lumMod val="50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12700</xdr:colOff>
      <xdr:row>253</xdr:row>
      <xdr:rowOff>101600</xdr:rowOff>
    </xdr:from>
    <xdr:to>
      <xdr:col>13</xdr:col>
      <xdr:colOff>254000</xdr:colOff>
      <xdr:row>253</xdr:row>
      <xdr:rowOff>101600</xdr:rowOff>
    </xdr:to>
    <xdr:cxnSp macro="">
      <xdr:nvCxnSpPr>
        <xdr:cNvPr id="2" name="Straight Connector 1"/>
        <xdr:cNvCxnSpPr/>
      </xdr:nvCxnSpPr>
      <xdr:spPr>
        <a:xfrm>
          <a:off x="6632575" y="39725600"/>
          <a:ext cx="6022975" cy="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237066</xdr:colOff>
      <xdr:row>27</xdr:row>
      <xdr:rowOff>165100</xdr:rowOff>
    </xdr:from>
    <xdr:to>
      <xdr:col>13</xdr:col>
      <xdr:colOff>292100</xdr:colOff>
      <xdr:row>253</xdr:row>
      <xdr:rowOff>84667</xdr:rowOff>
    </xdr:to>
    <xdr:cxnSp macro="">
      <xdr:nvCxnSpPr>
        <xdr:cNvPr id="3" name="Straight Connector 2"/>
        <xdr:cNvCxnSpPr/>
      </xdr:nvCxnSpPr>
      <xdr:spPr>
        <a:xfrm flipV="1">
          <a:off x="12638616" y="5737225"/>
          <a:ext cx="55034" cy="33971442"/>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635000</xdr:colOff>
      <xdr:row>261</xdr:row>
      <xdr:rowOff>88900</xdr:rowOff>
    </xdr:from>
    <xdr:to>
      <xdr:col>17</xdr:col>
      <xdr:colOff>330200</xdr:colOff>
      <xdr:row>261</xdr:row>
      <xdr:rowOff>114300</xdr:rowOff>
    </xdr:to>
    <xdr:cxnSp macro="">
      <xdr:nvCxnSpPr>
        <xdr:cNvPr id="4" name="Straight Connector 3"/>
        <xdr:cNvCxnSpPr/>
      </xdr:nvCxnSpPr>
      <xdr:spPr>
        <a:xfrm flipV="1">
          <a:off x="11379200" y="41389300"/>
          <a:ext cx="3390900"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287866</xdr:colOff>
      <xdr:row>28</xdr:row>
      <xdr:rowOff>1</xdr:rowOff>
    </xdr:from>
    <xdr:to>
      <xdr:col>20</xdr:col>
      <xdr:colOff>309034</xdr:colOff>
      <xdr:row>261</xdr:row>
      <xdr:rowOff>101600</xdr:rowOff>
    </xdr:to>
    <xdr:cxnSp macro="">
      <xdr:nvCxnSpPr>
        <xdr:cNvPr id="5" name="Straight Connector 4"/>
        <xdr:cNvCxnSpPr/>
      </xdr:nvCxnSpPr>
      <xdr:spPr>
        <a:xfrm flipV="1">
          <a:off x="15242116" y="5753101"/>
          <a:ext cx="21168" cy="35648899"/>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330200</xdr:colOff>
      <xdr:row>28</xdr:row>
      <xdr:rowOff>1</xdr:rowOff>
    </xdr:from>
    <xdr:to>
      <xdr:col>14</xdr:col>
      <xdr:colOff>355600</xdr:colOff>
      <xdr:row>254</xdr:row>
      <xdr:rowOff>88900</xdr:rowOff>
    </xdr:to>
    <xdr:cxnSp macro="">
      <xdr:nvCxnSpPr>
        <xdr:cNvPr id="6" name="Straight Connector 5"/>
        <xdr:cNvCxnSpPr/>
      </xdr:nvCxnSpPr>
      <xdr:spPr>
        <a:xfrm flipV="1">
          <a:off x="13265150" y="5753101"/>
          <a:ext cx="25400" cy="34169349"/>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287867</xdr:colOff>
      <xdr:row>28</xdr:row>
      <xdr:rowOff>1</xdr:rowOff>
    </xdr:from>
    <xdr:to>
      <xdr:col>17</xdr:col>
      <xdr:colOff>304800</xdr:colOff>
      <xdr:row>261</xdr:row>
      <xdr:rowOff>101600</xdr:rowOff>
    </xdr:to>
    <xdr:cxnSp macro="">
      <xdr:nvCxnSpPr>
        <xdr:cNvPr id="7" name="Straight Connector 6"/>
        <xdr:cNvCxnSpPr/>
      </xdr:nvCxnSpPr>
      <xdr:spPr>
        <a:xfrm flipV="1">
          <a:off x="14727767" y="5753101"/>
          <a:ext cx="16933" cy="35648899"/>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317500</xdr:colOff>
      <xdr:row>261</xdr:row>
      <xdr:rowOff>84667</xdr:rowOff>
    </xdr:from>
    <xdr:to>
      <xdr:col>20</xdr:col>
      <xdr:colOff>287866</xdr:colOff>
      <xdr:row>261</xdr:row>
      <xdr:rowOff>88900</xdr:rowOff>
    </xdr:to>
    <xdr:cxnSp macro="">
      <xdr:nvCxnSpPr>
        <xdr:cNvPr id="8" name="Straight Connector 7"/>
        <xdr:cNvCxnSpPr/>
      </xdr:nvCxnSpPr>
      <xdr:spPr>
        <a:xfrm flipV="1">
          <a:off x="14757400" y="41385067"/>
          <a:ext cx="484716" cy="4233"/>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889000</xdr:colOff>
      <xdr:row>211</xdr:row>
      <xdr:rowOff>88900</xdr:rowOff>
    </xdr:from>
    <xdr:to>
      <xdr:col>25</xdr:col>
      <xdr:colOff>457200</xdr:colOff>
      <xdr:row>211</xdr:row>
      <xdr:rowOff>101600</xdr:rowOff>
    </xdr:to>
    <xdr:cxnSp macro="">
      <xdr:nvCxnSpPr>
        <xdr:cNvPr id="9" name="Straight Connector 8"/>
        <xdr:cNvCxnSpPr/>
      </xdr:nvCxnSpPr>
      <xdr:spPr>
        <a:xfrm flipV="1">
          <a:off x="889000" y="34093150"/>
          <a:ext cx="17294225"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457200</xdr:colOff>
      <xdr:row>77</xdr:row>
      <xdr:rowOff>190501</xdr:rowOff>
    </xdr:from>
    <xdr:to>
      <xdr:col>25</xdr:col>
      <xdr:colOff>469900</xdr:colOff>
      <xdr:row>211</xdr:row>
      <xdr:rowOff>84667</xdr:rowOff>
    </xdr:to>
    <xdr:cxnSp macro="">
      <xdr:nvCxnSpPr>
        <xdr:cNvPr id="10" name="Straight Connector 9"/>
        <xdr:cNvCxnSpPr/>
      </xdr:nvCxnSpPr>
      <xdr:spPr>
        <a:xfrm flipV="1">
          <a:off x="18183225" y="15982951"/>
          <a:ext cx="12700" cy="18105966"/>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372533</xdr:colOff>
      <xdr:row>77</xdr:row>
      <xdr:rowOff>152401</xdr:rowOff>
    </xdr:from>
    <xdr:to>
      <xdr:col>29</xdr:col>
      <xdr:colOff>393700</xdr:colOff>
      <xdr:row>211</xdr:row>
      <xdr:rowOff>118534</xdr:rowOff>
    </xdr:to>
    <xdr:cxnSp macro="">
      <xdr:nvCxnSpPr>
        <xdr:cNvPr id="11" name="Straight Connector 10"/>
        <xdr:cNvCxnSpPr/>
      </xdr:nvCxnSpPr>
      <xdr:spPr>
        <a:xfrm flipV="1">
          <a:off x="20603633" y="15944851"/>
          <a:ext cx="21167" cy="18177933"/>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457200</xdr:colOff>
      <xdr:row>211</xdr:row>
      <xdr:rowOff>101600</xdr:rowOff>
    </xdr:from>
    <xdr:to>
      <xdr:col>29</xdr:col>
      <xdr:colOff>393700</xdr:colOff>
      <xdr:row>211</xdr:row>
      <xdr:rowOff>127000</xdr:rowOff>
    </xdr:to>
    <xdr:cxnSp macro="">
      <xdr:nvCxnSpPr>
        <xdr:cNvPr id="12" name="Straight Connector 11"/>
        <xdr:cNvCxnSpPr/>
      </xdr:nvCxnSpPr>
      <xdr:spPr>
        <a:xfrm>
          <a:off x="18183225" y="34105850"/>
          <a:ext cx="2441575" cy="254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508000</xdr:colOff>
      <xdr:row>254</xdr:row>
      <xdr:rowOff>88900</xdr:rowOff>
    </xdr:from>
    <xdr:to>
      <xdr:col>14</xdr:col>
      <xdr:colOff>393700</xdr:colOff>
      <xdr:row>254</xdr:row>
      <xdr:rowOff>101600</xdr:rowOff>
    </xdr:to>
    <xdr:cxnSp macro="">
      <xdr:nvCxnSpPr>
        <xdr:cNvPr id="13" name="Straight Connector 12"/>
        <xdr:cNvCxnSpPr/>
      </xdr:nvCxnSpPr>
      <xdr:spPr>
        <a:xfrm flipV="1">
          <a:off x="11252200" y="39922450"/>
          <a:ext cx="2076450" cy="12700"/>
        </a:xfrm>
        <a:prstGeom prst="line">
          <a:avLst/>
        </a:prstGeom>
        <a:ln>
          <a:solidFill>
            <a:sysClr val="windowText" lastClr="000000"/>
          </a:solidFill>
          <a:prstDash val="sysDash"/>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square" rtlCol="0" anchor="t">
        <a:spAutoFit/>
      </a:bodyPr>
      <a:lstStyle>
        <a:defPPr>
          <a:defRPr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grants.nih.gov/grants/guide/notice-files/NOT-OD-02-017.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icahn.mssm.edu/files/ISMMS/Assets/Research/GCO/Cost%20Sharing%20Form%20-%20Revised%20-%202012.xls" TargetMode="External"/><Relationship Id="rId7" Type="http://schemas.openxmlformats.org/officeDocument/2006/relationships/comments" Target="../comments1.xml"/><Relationship Id="rId2" Type="http://schemas.openxmlformats.org/officeDocument/2006/relationships/hyperlink" Target="http://icahn.mssm.edu/files/ISMMS/Assets/Research/GCO/CostSharingNotice.pdf" TargetMode="External"/><Relationship Id="rId1" Type="http://schemas.openxmlformats.org/officeDocument/2006/relationships/hyperlink" Target="http://grants.nih.gov/grants/guide/notice-files/NOT-OD-10-097.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icahn.mssm.edu/research/resources/grants-and-contract-office/application-information" TargetMode="External"/><Relationship Id="rId7" Type="http://schemas.openxmlformats.org/officeDocument/2006/relationships/comments" Target="../comments3.xml"/><Relationship Id="rId2" Type="http://schemas.openxmlformats.org/officeDocument/2006/relationships/hyperlink" Target="http://icahn.mssm.edu/static_files/MSSM/Files/Research/Resources/Grants%20and%20Contract%20Office/CostSharingNotice.pdf" TargetMode="External"/><Relationship Id="rId1" Type="http://schemas.openxmlformats.org/officeDocument/2006/relationships/hyperlink" Target="http://grants.nih.gov/grants/guide/notice-files/NOT-OD-10-097.html" TargetMode="External"/><Relationship Id="rId6" Type="http://schemas.openxmlformats.org/officeDocument/2006/relationships/vmlDrawing" Target="../drawings/vmlDrawing3.vml"/><Relationship Id="rId5" Type="http://schemas.openxmlformats.org/officeDocument/2006/relationships/drawing" Target="../drawings/drawing8.xml"/><Relationship Id="rId4"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3" Type="http://schemas.openxmlformats.org/officeDocument/2006/relationships/hyperlink" Target="http://icahn.mssm.edu/research/resources/grants-and-contract-office/application-information" TargetMode="External"/><Relationship Id="rId2" Type="http://schemas.openxmlformats.org/officeDocument/2006/relationships/hyperlink" Target="http://icahn.mssm.edu/static_files/MSSM/Files/Research/Resources/Grants%20and%20Contract%20Office/CostSharingNotice.pdf" TargetMode="External"/><Relationship Id="rId1" Type="http://schemas.openxmlformats.org/officeDocument/2006/relationships/hyperlink" Target="http://grants.nih.gov/grants/guide/notice-files/NOT-OD-10-097.html" TargetMode="External"/><Relationship Id="rId4"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hyperlink" Target="http://icahn.mssm.edu/research/resources/grants-and-contract-office/application-information" TargetMode="External"/><Relationship Id="rId2" Type="http://schemas.openxmlformats.org/officeDocument/2006/relationships/hyperlink" Target="http://icahn.mssm.edu/static_files/MSSM/Files/Research/Resources/Grants%20and%20Contract%20Office/CostSharingNotice.pdf" TargetMode="External"/><Relationship Id="rId1" Type="http://schemas.openxmlformats.org/officeDocument/2006/relationships/hyperlink" Target="http://grants.nih.gov/grants/guide/notice-files/NOT-OD-10-097.html" TargetMode="External"/><Relationship Id="rId4" Type="http://schemas.openxmlformats.org/officeDocument/2006/relationships/drawing" Target="../drawings/drawing10.xml"/></Relationships>
</file>

<file path=xl/worksheets/_rels/sheet23.xml.rels><?xml version="1.0" encoding="UTF-8" standalone="yes"?>
<Relationships xmlns="http://schemas.openxmlformats.org/package/2006/relationships"><Relationship Id="rId3" Type="http://schemas.openxmlformats.org/officeDocument/2006/relationships/hyperlink" Target="http://icahn.mssm.edu/research/resources/grants-and-contract-office/application-information" TargetMode="External"/><Relationship Id="rId2" Type="http://schemas.openxmlformats.org/officeDocument/2006/relationships/hyperlink" Target="http://icahn.mssm.edu/static_files/MSSM/Files/Research/Resources/Grants%20and%20Contract%20Office/CostSharingNotice.pdf" TargetMode="External"/><Relationship Id="rId1" Type="http://schemas.openxmlformats.org/officeDocument/2006/relationships/hyperlink" Target="http://grants.nih.gov/grants/guide/notice-files/NOT-OD-10-097.html" TargetMode="External"/><Relationship Id="rId4" Type="http://schemas.openxmlformats.org/officeDocument/2006/relationships/drawing" Target="../drawings/drawing11.xml"/></Relationships>
</file>

<file path=xl/worksheets/_rels/sheet24.xml.rels><?xml version="1.0" encoding="UTF-8" standalone="yes"?>
<Relationships xmlns="http://schemas.openxmlformats.org/package/2006/relationships"><Relationship Id="rId3" Type="http://schemas.openxmlformats.org/officeDocument/2006/relationships/hyperlink" Target="http://icahn.mssm.edu/research/resources/grants-and-contract-office/application-information" TargetMode="External"/><Relationship Id="rId2" Type="http://schemas.openxmlformats.org/officeDocument/2006/relationships/hyperlink" Target="http://icahn.mssm.edu/static_files/MSSM/Files/Research/Resources/Grants%20and%20Contract%20Office/CostSharingNotice.pdf" TargetMode="External"/><Relationship Id="rId1" Type="http://schemas.openxmlformats.org/officeDocument/2006/relationships/hyperlink" Target="http://grants.nih.gov/grants/guide/notice-files/NOT-OD-10-097.html" TargetMode="External"/><Relationship Id="rId4" Type="http://schemas.openxmlformats.org/officeDocument/2006/relationships/drawing" Target="../drawings/drawing12.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grants.nih.gov/grants/guide/notice-files/NOT-OD-02-017.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icahn.mssm.edu/files/ISMMS/Assets/Research/GCO/Cost%20Sharing%20Form%20-%20Revised%20-%202012.xls" TargetMode="External"/><Relationship Id="rId7" Type="http://schemas.openxmlformats.org/officeDocument/2006/relationships/comments" Target="../comments2.xml"/><Relationship Id="rId2" Type="http://schemas.openxmlformats.org/officeDocument/2006/relationships/hyperlink" Target="http://icahn.mssm.edu/files/ISMMS/Assets/Research/GCO/CostSharingNotice.pdf" TargetMode="External"/><Relationship Id="rId1" Type="http://schemas.openxmlformats.org/officeDocument/2006/relationships/hyperlink" Target="http://grants.nih.gov/grants/guide/notice-files/NOT-OD-10-097.html"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icahn.mssm.edu/files/ISMMS/Assets/Research/GCO/Cost%20Sharing%20Form%20-%20Revised%20-%202012.xls" TargetMode="External"/><Relationship Id="rId2" Type="http://schemas.openxmlformats.org/officeDocument/2006/relationships/hyperlink" Target="http://icahn.mssm.edu/files/ISMMS/Assets/Research/GCO/CostSharingNotice.pdf" TargetMode="External"/><Relationship Id="rId1" Type="http://schemas.openxmlformats.org/officeDocument/2006/relationships/hyperlink" Target="http://grants.nih.gov/grants/guide/notice-files/NOT-OD-10-097.html"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icahn.mssm.edu/files/ISMMS/Assets/Research/GCO/Cost%20Sharing%20Form%20-%20Revised%20-%202012.xls" TargetMode="External"/><Relationship Id="rId2" Type="http://schemas.openxmlformats.org/officeDocument/2006/relationships/hyperlink" Target="http://icahn.mssm.edu/files/ISMMS/Assets/Research/GCO/CostSharingNotice.pdf" TargetMode="External"/><Relationship Id="rId1" Type="http://schemas.openxmlformats.org/officeDocument/2006/relationships/hyperlink" Target="http://grants.nih.gov/grants/guide/notice-files/NOT-OD-10-097.html" TargetMode="External"/><Relationship Id="rId5" Type="http://schemas.openxmlformats.org/officeDocument/2006/relationships/drawing" Target="../drawings/drawing4.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icahn.mssm.edu/files/ISMMS/Assets/Research/GCO/Cost%20Sharing%20Form%20-%20Revised%20-%202012.xls" TargetMode="External"/><Relationship Id="rId2" Type="http://schemas.openxmlformats.org/officeDocument/2006/relationships/hyperlink" Target="http://icahn.mssm.edu/files/ISMMS/Assets/Research/GCO/CostSharingNotice.pdf" TargetMode="External"/><Relationship Id="rId1" Type="http://schemas.openxmlformats.org/officeDocument/2006/relationships/hyperlink" Target="http://grants.nih.gov/grants/guide/notice-files/NOT-OD-10-097.html"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nexus.od.nih.gov/all/2015/05/27/how-do-you-convert-percent-effort-into-person-months/?utm_source=nexus&amp;utm_medium=email&amp;utm_content=estaff&amp;utm_campaign=may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6"/>
  <sheetViews>
    <sheetView zoomScaleNormal="100" workbookViewId="0">
      <selection activeCell="A2" sqref="A2"/>
    </sheetView>
  </sheetViews>
  <sheetFormatPr defaultColWidth="8.88671875" defaultRowHeight="13.2" x14ac:dyDescent="0.25"/>
  <cols>
    <col min="1" max="1" width="26.33203125" customWidth="1"/>
    <col min="2" max="2" width="25.33203125" customWidth="1"/>
    <col min="3" max="3" width="14.88671875" customWidth="1"/>
    <col min="4" max="7" width="11.33203125" customWidth="1"/>
    <col min="8" max="8" width="20.6640625" customWidth="1"/>
    <col min="9" max="9" width="13.88671875" customWidth="1"/>
    <col min="10" max="10" width="13.6640625" customWidth="1"/>
    <col min="11" max="11" width="13.33203125" customWidth="1"/>
  </cols>
  <sheetData>
    <row r="1" spans="1:78" ht="14.4" thickBot="1" x14ac:dyDescent="0.3">
      <c r="A1" s="843"/>
      <c r="B1" s="844"/>
      <c r="C1" s="845"/>
      <c r="D1" s="845"/>
      <c r="E1" s="845"/>
      <c r="F1" s="845"/>
      <c r="G1" s="845"/>
      <c r="H1" s="845"/>
      <c r="I1" s="845"/>
      <c r="J1" s="845"/>
      <c r="K1" s="1268" t="s">
        <v>632</v>
      </c>
    </row>
    <row r="2" spans="1:78" s="1" customFormat="1" ht="13.8" x14ac:dyDescent="0.25">
      <c r="A2" s="1145" t="s">
        <v>432</v>
      </c>
      <c r="B2" s="1146"/>
      <c r="C2" s="625"/>
      <c r="D2" s="625"/>
      <c r="E2" s="625"/>
      <c r="F2" s="625"/>
      <c r="G2" s="625"/>
      <c r="H2" s="625"/>
      <c r="I2" s="625"/>
      <c r="J2" s="625"/>
      <c r="K2" s="1152"/>
      <c r="L2" s="230"/>
      <c r="M2" s="230"/>
      <c r="N2" s="230"/>
      <c r="O2" s="230"/>
      <c r="P2" s="230"/>
      <c r="Q2" s="230"/>
      <c r="R2" s="230"/>
      <c r="S2" s="230"/>
      <c r="T2" s="230"/>
      <c r="U2" s="230"/>
      <c r="W2" s="230"/>
      <c r="X2" s="265"/>
      <c r="Y2" s="265"/>
      <c r="Z2" s="230"/>
      <c r="AA2" s="230"/>
      <c r="AB2" s="265"/>
      <c r="AC2" s="265"/>
      <c r="AK2" s="129" t="e">
        <f>#REF!*#REF!</f>
        <v>#REF!</v>
      </c>
      <c r="AL2" s="129" t="e">
        <f>#REF!*#REF!</f>
        <v>#REF!</v>
      </c>
      <c r="AM2" s="129" t="e">
        <f>#REF!*#REF!</f>
        <v>#REF!</v>
      </c>
      <c r="AN2" s="230"/>
      <c r="AO2" s="230"/>
      <c r="AP2" s="230"/>
      <c r="AQ2" s="230"/>
      <c r="AR2" s="230"/>
      <c r="AS2" s="230"/>
      <c r="AT2" s="230"/>
      <c r="AU2" s="230"/>
      <c r="AV2" s="230"/>
      <c r="AW2" s="230"/>
      <c r="AX2" s="230"/>
      <c r="AY2" s="230"/>
      <c r="AZ2" s="230"/>
      <c r="BA2" s="654"/>
      <c r="BB2" s="654"/>
      <c r="BC2" s="654"/>
      <c r="BD2" s="654"/>
      <c r="BE2" s="654"/>
      <c r="BF2" s="654"/>
      <c r="BG2" s="654"/>
      <c r="BH2" s="654"/>
      <c r="BI2" s="654"/>
      <c r="BJ2" s="654"/>
      <c r="BK2" s="654"/>
      <c r="BL2" s="654"/>
      <c r="BM2" s="654"/>
      <c r="BN2" s="654"/>
      <c r="BO2" s="654"/>
      <c r="BP2" s="654"/>
      <c r="BQ2" s="654"/>
      <c r="BR2" s="654"/>
      <c r="BS2" s="654"/>
      <c r="BT2" s="654"/>
      <c r="BU2" s="654"/>
      <c r="BV2" s="654"/>
      <c r="BW2" s="654"/>
      <c r="BX2" s="654"/>
      <c r="BY2" s="654"/>
      <c r="BZ2" s="654"/>
    </row>
    <row r="3" spans="1:78" s="1" customFormat="1" ht="15" thickBot="1" x14ac:dyDescent="0.3">
      <c r="A3" s="1147" t="s">
        <v>422</v>
      </c>
      <c r="B3" s="1148"/>
      <c r="C3" s="824"/>
      <c r="D3" s="824"/>
      <c r="E3" s="824"/>
      <c r="F3" s="824"/>
      <c r="G3" s="824"/>
      <c r="H3" s="824"/>
      <c r="I3" s="824"/>
      <c r="J3" s="824"/>
      <c r="K3" s="1153"/>
      <c r="X3" s="95"/>
      <c r="Y3" s="95"/>
      <c r="AB3" s="95"/>
      <c r="AC3" s="95"/>
      <c r="AN3" s="230"/>
      <c r="AO3" s="230"/>
      <c r="AP3" s="230"/>
      <c r="AQ3" s="230"/>
      <c r="AR3" s="230"/>
      <c r="AS3" s="230"/>
      <c r="AT3" s="230"/>
      <c r="AU3" s="230"/>
      <c r="AV3" s="230"/>
      <c r="AW3" s="230"/>
      <c r="AX3" s="230"/>
      <c r="AY3" s="230"/>
      <c r="AZ3" s="230"/>
      <c r="BA3" s="654"/>
      <c r="BB3" s="654"/>
      <c r="BC3" s="654"/>
      <c r="BD3" s="654"/>
      <c r="BE3" s="654"/>
      <c r="BF3" s="654"/>
      <c r="BG3" s="654"/>
      <c r="BH3" s="654"/>
      <c r="BI3" s="654"/>
      <c r="BJ3" s="654"/>
      <c r="BK3" s="654"/>
      <c r="BL3" s="654"/>
      <c r="BM3" s="654"/>
      <c r="BN3" s="654"/>
      <c r="BO3" s="654"/>
      <c r="BP3" s="654"/>
      <c r="BQ3" s="654"/>
      <c r="BR3" s="654"/>
      <c r="BS3" s="654"/>
      <c r="BT3" s="654"/>
      <c r="BU3" s="654"/>
      <c r="BV3" s="654"/>
      <c r="BW3" s="654"/>
      <c r="BX3" s="654"/>
      <c r="BY3" s="654"/>
      <c r="BZ3" s="654"/>
    </row>
    <row r="4" spans="1:78" s="2" customFormat="1" ht="16.5" customHeight="1" thickTop="1" thickBot="1" x14ac:dyDescent="0.35">
      <c r="A4" s="1454" t="s">
        <v>61</v>
      </c>
      <c r="B4" s="1454"/>
      <c r="C4" s="825" t="s">
        <v>59</v>
      </c>
      <c r="D4" s="308"/>
      <c r="E4" s="309"/>
      <c r="F4" s="309"/>
      <c r="G4" s="309"/>
      <c r="H4" s="309"/>
      <c r="I4" s="310"/>
      <c r="J4" s="310"/>
      <c r="K4" s="1094" t="s">
        <v>268</v>
      </c>
      <c r="W4" s="231"/>
      <c r="X4" s="266"/>
      <c r="Y4" s="266"/>
      <c r="Z4" s="231"/>
      <c r="AA4" s="231"/>
      <c r="AB4" s="266"/>
      <c r="AC4" s="266"/>
      <c r="AN4" s="231"/>
      <c r="AO4" s="231"/>
      <c r="AP4" s="231"/>
      <c r="AQ4" s="231"/>
      <c r="AR4" s="231"/>
      <c r="AS4" s="231"/>
      <c r="AT4" s="231"/>
      <c r="AU4" s="231"/>
      <c r="AV4" s="231"/>
      <c r="AW4" s="231"/>
      <c r="AX4" s="231"/>
      <c r="AY4" s="231"/>
      <c r="AZ4" s="231"/>
      <c r="BA4" s="655"/>
      <c r="BB4" s="655"/>
      <c r="BC4" s="655"/>
      <c r="BD4" s="655"/>
      <c r="BE4" s="655"/>
      <c r="BF4" s="655"/>
      <c r="BG4" s="655"/>
      <c r="BH4" s="655"/>
      <c r="BI4" s="655"/>
      <c r="BJ4" s="655"/>
      <c r="BK4" s="655"/>
      <c r="BL4" s="655"/>
      <c r="BM4" s="655"/>
      <c r="BN4" s="655"/>
      <c r="BO4" s="655"/>
      <c r="BP4" s="655"/>
      <c r="BQ4" s="655"/>
      <c r="BR4" s="655"/>
      <c r="BS4" s="655"/>
      <c r="BT4" s="655"/>
      <c r="BU4" s="655"/>
      <c r="BV4" s="655"/>
      <c r="BW4" s="655"/>
      <c r="BX4" s="655"/>
      <c r="BY4" s="655"/>
      <c r="BZ4" s="655"/>
    </row>
    <row r="5" spans="1:78" s="2" customFormat="1" ht="16.5" customHeight="1" thickTop="1" x14ac:dyDescent="0.3">
      <c r="A5" s="1098" t="s">
        <v>550</v>
      </c>
      <c r="B5" s="1098"/>
      <c r="C5" s="312"/>
      <c r="D5" s="308"/>
      <c r="E5" s="309"/>
      <c r="F5" s="309"/>
      <c r="G5" s="309"/>
      <c r="H5" s="309"/>
      <c r="I5" s="310"/>
      <c r="J5" s="310"/>
      <c r="K5" s="1154"/>
      <c r="W5" s="231"/>
      <c r="X5" s="266"/>
      <c r="Y5" s="266"/>
      <c r="Z5" s="231"/>
      <c r="AA5" s="231"/>
      <c r="AB5" s="266"/>
      <c r="AC5" s="266"/>
      <c r="AN5" s="231"/>
      <c r="AO5" s="231"/>
      <c r="AP5" s="231"/>
      <c r="AQ5" s="231"/>
      <c r="AR5" s="231"/>
      <c r="AS5" s="231"/>
      <c r="AT5" s="231"/>
      <c r="AU5" s="231"/>
      <c r="AV5" s="231"/>
      <c r="AW5" s="231"/>
      <c r="AX5" s="231"/>
      <c r="AY5" s="231"/>
      <c r="AZ5" s="231"/>
      <c r="BA5" s="655"/>
      <c r="BB5" s="655"/>
      <c r="BC5" s="655"/>
      <c r="BD5" s="655"/>
      <c r="BE5" s="655"/>
      <c r="BF5" s="655"/>
      <c r="BG5" s="655"/>
      <c r="BH5" s="655"/>
      <c r="BI5" s="655"/>
      <c r="BJ5" s="655"/>
      <c r="BK5" s="655"/>
      <c r="BL5" s="655"/>
      <c r="BM5" s="655"/>
      <c r="BN5" s="655"/>
      <c r="BO5" s="655"/>
      <c r="BP5" s="655"/>
      <c r="BQ5" s="655"/>
      <c r="BR5" s="655"/>
      <c r="BS5" s="655"/>
      <c r="BT5" s="655"/>
      <c r="BU5" s="655"/>
      <c r="BV5" s="655"/>
      <c r="BW5" s="655"/>
      <c r="BX5" s="655"/>
      <c r="BY5" s="655"/>
      <c r="BZ5" s="655"/>
    </row>
    <row r="6" spans="1:78" s="2" customFormat="1" ht="16.5" customHeight="1" x14ac:dyDescent="0.3">
      <c r="A6" s="1098" t="s">
        <v>551</v>
      </c>
      <c r="B6" s="1098"/>
      <c r="C6" s="312"/>
      <c r="D6" s="308"/>
      <c r="E6" s="309"/>
      <c r="F6" s="309"/>
      <c r="G6" s="309"/>
      <c r="H6" s="309"/>
      <c r="I6" s="310"/>
      <c r="J6" s="310"/>
      <c r="K6" s="1154"/>
      <c r="W6" s="231"/>
      <c r="X6" s="266"/>
      <c r="Y6" s="266"/>
      <c r="Z6" s="231"/>
      <c r="AA6" s="231"/>
      <c r="AB6" s="266"/>
      <c r="AC6" s="266"/>
      <c r="AN6" s="231"/>
      <c r="AO6" s="231"/>
      <c r="AP6" s="231"/>
      <c r="AQ6" s="231"/>
      <c r="AR6" s="231"/>
      <c r="AS6" s="231"/>
      <c r="AT6" s="231"/>
      <c r="AU6" s="231"/>
      <c r="AV6" s="231"/>
      <c r="AW6" s="231"/>
      <c r="AX6" s="231"/>
      <c r="AY6" s="231"/>
      <c r="AZ6" s="231"/>
      <c r="BA6" s="655"/>
      <c r="BB6" s="655"/>
      <c r="BC6" s="655"/>
      <c r="BD6" s="655"/>
      <c r="BE6" s="655"/>
      <c r="BF6" s="655"/>
      <c r="BG6" s="655"/>
      <c r="BH6" s="655"/>
      <c r="BI6" s="655"/>
      <c r="BJ6" s="655"/>
      <c r="BK6" s="655"/>
      <c r="BL6" s="655"/>
      <c r="BM6" s="655"/>
      <c r="BN6" s="655"/>
      <c r="BO6" s="655"/>
      <c r="BP6" s="655"/>
      <c r="BQ6" s="655"/>
      <c r="BR6" s="655"/>
      <c r="BS6" s="655"/>
      <c r="BT6" s="655"/>
      <c r="BU6" s="655"/>
      <c r="BV6" s="655"/>
      <c r="BW6" s="655"/>
      <c r="BX6" s="655"/>
      <c r="BY6" s="655"/>
      <c r="BZ6" s="655"/>
    </row>
    <row r="7" spans="1:78" s="1" customFormat="1" ht="12" customHeight="1" thickBot="1" x14ac:dyDescent="0.35">
      <c r="A7" s="1149"/>
      <c r="B7" s="1150"/>
      <c r="C7" s="1155"/>
      <c r="D7" s="1156"/>
      <c r="E7" s="1156"/>
      <c r="F7" s="1156"/>
      <c r="G7" s="1156"/>
      <c r="H7" s="1156"/>
      <c r="I7" s="328"/>
      <c r="J7" s="328"/>
      <c r="K7" s="24"/>
      <c r="W7" s="230"/>
      <c r="X7" s="265"/>
      <c r="Y7" s="265"/>
      <c r="Z7" s="230"/>
      <c r="AA7" s="230"/>
      <c r="AB7" s="265"/>
      <c r="AC7" s="265"/>
      <c r="AN7" s="230"/>
      <c r="AO7" s="230"/>
      <c r="AP7" s="230"/>
      <c r="AQ7" s="230"/>
      <c r="AR7" s="230"/>
      <c r="AS7" s="230"/>
      <c r="AT7" s="230"/>
      <c r="AU7" s="230"/>
      <c r="AV7" s="230"/>
      <c r="AW7" s="230"/>
      <c r="AX7" s="230"/>
      <c r="AY7" s="230"/>
      <c r="AZ7" s="230"/>
      <c r="BA7" s="654"/>
      <c r="BB7" s="654"/>
      <c r="BC7" s="654"/>
      <c r="BD7" s="654"/>
      <c r="BE7" s="654"/>
      <c r="BF7" s="654"/>
      <c r="BG7" s="654"/>
      <c r="BH7" s="654"/>
      <c r="BI7" s="654"/>
      <c r="BJ7" s="654"/>
      <c r="BK7" s="654"/>
      <c r="BL7" s="654"/>
      <c r="BM7" s="654"/>
      <c r="BN7" s="654"/>
      <c r="BO7" s="654"/>
      <c r="BP7" s="654"/>
      <c r="BQ7" s="654"/>
      <c r="BR7" s="654"/>
      <c r="BS7" s="654"/>
      <c r="BT7" s="654"/>
      <c r="BU7" s="654"/>
      <c r="BV7" s="654"/>
      <c r="BW7" s="654"/>
      <c r="BX7" s="654"/>
      <c r="BY7" s="654"/>
      <c r="BZ7" s="654"/>
    </row>
    <row r="8" spans="1:78" s="1" customFormat="1" ht="16.5" customHeight="1" thickTop="1" thickBot="1" x14ac:dyDescent="0.3">
      <c r="A8" s="1093" t="s">
        <v>368</v>
      </c>
      <c r="B8" s="1093"/>
      <c r="C8" s="442">
        <v>5</v>
      </c>
      <c r="D8" s="438"/>
      <c r="E8" s="438"/>
      <c r="F8" s="438"/>
      <c r="G8" s="438"/>
      <c r="H8" s="439"/>
      <c r="I8" s="438"/>
      <c r="J8" s="438"/>
      <c r="K8" s="1094" t="s">
        <v>270</v>
      </c>
      <c r="W8" s="230"/>
      <c r="X8" s="265"/>
      <c r="Y8" s="265"/>
      <c r="Z8" s="230"/>
      <c r="AA8" s="230"/>
      <c r="AB8" s="265"/>
      <c r="AC8" s="265"/>
      <c r="AN8" s="230"/>
      <c r="AO8" s="230"/>
      <c r="AP8" s="230"/>
      <c r="AQ8" s="230"/>
      <c r="AR8" s="230"/>
      <c r="AS8" s="230"/>
      <c r="AT8" s="230"/>
      <c r="AU8" s="230"/>
      <c r="AV8" s="230"/>
      <c r="AW8" s="230"/>
      <c r="AX8" s="230"/>
      <c r="AY8" s="230"/>
      <c r="AZ8" s="230"/>
      <c r="BA8" s="654"/>
      <c r="BB8" s="654"/>
      <c r="BC8" s="654"/>
      <c r="BD8" s="654"/>
      <c r="BE8" s="654"/>
      <c r="BF8" s="654"/>
      <c r="BG8" s="654"/>
      <c r="BH8" s="654"/>
      <c r="BI8" s="654"/>
      <c r="BJ8" s="654"/>
      <c r="BK8" s="654"/>
      <c r="BL8" s="654"/>
      <c r="BM8" s="654"/>
      <c r="BN8" s="654"/>
      <c r="BO8" s="654"/>
      <c r="BP8" s="654"/>
      <c r="BQ8" s="654"/>
      <c r="BR8" s="654"/>
      <c r="BS8" s="654"/>
      <c r="BT8" s="654"/>
      <c r="BU8" s="654"/>
      <c r="BV8" s="654"/>
      <c r="BW8" s="654"/>
      <c r="BX8" s="654"/>
      <c r="BY8" s="654"/>
      <c r="BZ8" s="654"/>
    </row>
    <row r="9" spans="1:78" s="1" customFormat="1" ht="16.5" customHeight="1" thickTop="1" x14ac:dyDescent="0.25">
      <c r="A9" s="1093" t="s">
        <v>420</v>
      </c>
      <c r="B9" s="1093"/>
      <c r="C9" s="438"/>
      <c r="D9" s="438"/>
      <c r="E9" s="438"/>
      <c r="F9" s="438"/>
      <c r="G9" s="438"/>
      <c r="H9" s="439"/>
      <c r="I9" s="438"/>
      <c r="J9" s="438"/>
      <c r="K9" s="1094"/>
      <c r="W9" s="230"/>
      <c r="X9" s="265"/>
      <c r="Y9" s="265"/>
      <c r="Z9" s="230"/>
      <c r="AA9" s="230"/>
      <c r="AB9" s="265"/>
      <c r="AC9" s="265"/>
      <c r="AN9" s="230"/>
      <c r="AO9" s="230"/>
      <c r="AP9" s="230"/>
      <c r="AQ9" s="230"/>
      <c r="AR9" s="230"/>
      <c r="AS9" s="230"/>
      <c r="AT9" s="230"/>
      <c r="AU9" s="230"/>
      <c r="AV9" s="230"/>
      <c r="AW9" s="230"/>
      <c r="AX9" s="230"/>
      <c r="AY9" s="230"/>
      <c r="AZ9" s="230"/>
      <c r="BA9" s="654"/>
      <c r="BB9" s="654"/>
      <c r="BC9" s="654"/>
      <c r="BD9" s="654"/>
      <c r="BE9" s="654"/>
      <c r="BF9" s="654"/>
      <c r="BG9" s="654"/>
      <c r="BH9" s="654"/>
      <c r="BI9" s="654"/>
      <c r="BJ9" s="654"/>
      <c r="BK9" s="654"/>
      <c r="BL9" s="654"/>
      <c r="BM9" s="654"/>
      <c r="BN9" s="654"/>
      <c r="BO9" s="654"/>
      <c r="BP9" s="654"/>
      <c r="BQ9" s="654"/>
      <c r="BR9" s="654"/>
      <c r="BS9" s="654"/>
      <c r="BT9" s="654"/>
      <c r="BU9" s="654"/>
      <c r="BV9" s="654"/>
      <c r="BW9" s="654"/>
      <c r="BX9" s="654"/>
      <c r="BY9" s="654"/>
      <c r="BZ9" s="654"/>
    </row>
    <row r="10" spans="1:78" s="1" customFormat="1" ht="12" customHeight="1" thickBot="1" x14ac:dyDescent="0.3">
      <c r="A10" s="1151"/>
      <c r="B10" s="1151"/>
      <c r="C10" s="444"/>
      <c r="D10" s="443"/>
      <c r="E10" s="443"/>
      <c r="F10" s="443"/>
      <c r="G10" s="443"/>
      <c r="H10" s="445"/>
      <c r="I10" s="443"/>
      <c r="J10" s="443"/>
      <c r="K10" s="24"/>
      <c r="W10" s="230"/>
      <c r="X10" s="265"/>
      <c r="Y10" s="265"/>
      <c r="Z10" s="230"/>
      <c r="AA10" s="230"/>
      <c r="AB10" s="265"/>
      <c r="AC10" s="265"/>
      <c r="AN10" s="230"/>
      <c r="AO10" s="230"/>
      <c r="AP10" s="230"/>
      <c r="AQ10" s="230"/>
      <c r="AR10" s="230"/>
      <c r="AS10" s="230"/>
      <c r="AT10" s="230"/>
      <c r="AU10" s="230"/>
      <c r="AV10" s="230"/>
      <c r="AW10" s="230"/>
      <c r="AX10" s="230"/>
      <c r="AY10" s="230"/>
      <c r="AZ10" s="230"/>
      <c r="BA10" s="654"/>
      <c r="BB10" s="654"/>
      <c r="BC10" s="654"/>
      <c r="BD10" s="654"/>
      <c r="BE10" s="654"/>
      <c r="BF10" s="654"/>
      <c r="BG10" s="654"/>
      <c r="BH10" s="654"/>
      <c r="BI10" s="654"/>
      <c r="BJ10" s="654"/>
      <c r="BK10" s="654"/>
      <c r="BL10" s="654"/>
      <c r="BM10" s="654"/>
      <c r="BN10" s="654"/>
      <c r="BO10" s="654"/>
      <c r="BP10" s="654"/>
      <c r="BQ10" s="654"/>
      <c r="BR10" s="654"/>
      <c r="BS10" s="654"/>
      <c r="BT10" s="654"/>
      <c r="BU10" s="654"/>
      <c r="BV10" s="654"/>
      <c r="BW10" s="654"/>
      <c r="BX10" s="654"/>
      <c r="BY10" s="654"/>
      <c r="BZ10" s="654"/>
    </row>
    <row r="11" spans="1:78" s="1" customFormat="1" ht="16.5" customHeight="1" thickTop="1" thickBot="1" x14ac:dyDescent="0.3">
      <c r="A11" s="1093" t="s">
        <v>369</v>
      </c>
      <c r="B11" s="1093"/>
      <c r="C11" s="438"/>
      <c r="D11" s="438"/>
      <c r="E11" s="438"/>
      <c r="F11" s="438"/>
      <c r="G11" s="1455" t="s">
        <v>59</v>
      </c>
      <c r="H11" s="1456"/>
      <c r="I11" s="1457"/>
      <c r="J11" s="438"/>
      <c r="K11" s="1094" t="s">
        <v>276</v>
      </c>
      <c r="W11" s="230"/>
      <c r="X11" s="265"/>
      <c r="Y11" s="265"/>
      <c r="Z11" s="230"/>
      <c r="AA11" s="230"/>
      <c r="AB11" s="265"/>
      <c r="AC11" s="265"/>
      <c r="AN11" s="230"/>
      <c r="AO11" s="230"/>
      <c r="AP11" s="230"/>
      <c r="AQ11" s="230"/>
      <c r="AR11" s="230"/>
      <c r="AS11" s="230"/>
      <c r="AT11" s="230"/>
      <c r="AU11" s="230"/>
      <c r="AV11" s="230"/>
      <c r="AW11" s="230"/>
      <c r="AX11" s="230"/>
      <c r="AY11" s="230"/>
      <c r="AZ11" s="230"/>
      <c r="BA11" s="654"/>
      <c r="BB11" s="654"/>
      <c r="BC11" s="654"/>
      <c r="BD11" s="654"/>
      <c r="BE11" s="654"/>
      <c r="BF11" s="654"/>
      <c r="BG11" s="654"/>
      <c r="BH11" s="654"/>
      <c r="BI11" s="654"/>
      <c r="BJ11" s="654"/>
      <c r="BK11" s="654"/>
      <c r="BL11" s="654"/>
      <c r="BM11" s="654"/>
      <c r="BN11" s="654"/>
      <c r="BO11" s="654"/>
      <c r="BP11" s="654"/>
      <c r="BQ11" s="654"/>
      <c r="BR11" s="654"/>
      <c r="BS11" s="654"/>
      <c r="BT11" s="654"/>
      <c r="BU11" s="654"/>
      <c r="BV11" s="654"/>
      <c r="BW11" s="654"/>
      <c r="BX11" s="654"/>
      <c r="BY11" s="654"/>
      <c r="BZ11" s="654"/>
    </row>
    <row r="12" spans="1:78" s="1" customFormat="1" ht="16.5" customHeight="1" thickTop="1" x14ac:dyDescent="0.25">
      <c r="A12" s="1093" t="s">
        <v>514</v>
      </c>
      <c r="B12" s="1093"/>
      <c r="C12" s="438"/>
      <c r="D12" s="438"/>
      <c r="E12" s="438"/>
      <c r="F12" s="438"/>
      <c r="G12" s="438"/>
      <c r="H12" s="438"/>
      <c r="I12" s="438"/>
      <c r="J12" s="438"/>
      <c r="K12" s="1094"/>
      <c r="W12" s="230"/>
      <c r="X12" s="265"/>
      <c r="Y12" s="265"/>
      <c r="Z12" s="230"/>
      <c r="AA12" s="230"/>
      <c r="AB12" s="265"/>
      <c r="AC12" s="265"/>
      <c r="AN12" s="230"/>
      <c r="AO12" s="230"/>
      <c r="AP12" s="230"/>
      <c r="AQ12" s="230"/>
      <c r="AR12" s="230"/>
      <c r="AS12" s="230"/>
      <c r="AT12" s="230"/>
      <c r="AU12" s="230"/>
      <c r="AV12" s="230"/>
      <c r="AW12" s="230"/>
      <c r="AX12" s="230"/>
      <c r="AY12" s="230"/>
      <c r="AZ12" s="230"/>
      <c r="BA12" s="654"/>
      <c r="BB12" s="654"/>
      <c r="BC12" s="654"/>
      <c r="BD12" s="654"/>
      <c r="BE12" s="654"/>
      <c r="BF12" s="654"/>
      <c r="BG12" s="654"/>
      <c r="BH12" s="654"/>
      <c r="BI12" s="654"/>
      <c r="BJ12" s="654"/>
      <c r="BK12" s="654"/>
      <c r="BL12" s="654"/>
      <c r="BM12" s="654"/>
      <c r="BN12" s="654"/>
      <c r="BO12" s="654"/>
      <c r="BP12" s="654"/>
      <c r="BQ12" s="654"/>
      <c r="BR12" s="654"/>
      <c r="BS12" s="654"/>
      <c r="BT12" s="654"/>
      <c r="BU12" s="654"/>
      <c r="BV12" s="654"/>
      <c r="BW12" s="654"/>
      <c r="BX12" s="654"/>
      <c r="BY12" s="654"/>
      <c r="BZ12" s="654"/>
    </row>
    <row r="13" spans="1:78" s="1" customFormat="1" ht="20.25" customHeight="1" x14ac:dyDescent="0.25">
      <c r="A13" s="1093" t="s">
        <v>515</v>
      </c>
      <c r="B13" s="1093"/>
      <c r="C13" s="438"/>
      <c r="D13" s="438"/>
      <c r="E13" s="438"/>
      <c r="F13" s="438"/>
      <c r="G13" s="438"/>
      <c r="H13" s="438"/>
      <c r="I13" s="438"/>
      <c r="J13" s="438"/>
      <c r="K13" s="1094"/>
      <c r="W13" s="230"/>
      <c r="X13" s="265"/>
      <c r="Y13" s="265"/>
      <c r="Z13" s="230"/>
      <c r="AA13" s="230"/>
      <c r="AB13" s="265"/>
      <c r="AC13" s="265"/>
      <c r="AN13" s="230"/>
      <c r="AO13" s="230"/>
      <c r="AP13" s="230"/>
      <c r="AQ13" s="230"/>
      <c r="AR13" s="230"/>
      <c r="AS13" s="230"/>
      <c r="AT13" s="230"/>
      <c r="AU13" s="230"/>
      <c r="AV13" s="230"/>
      <c r="AW13" s="230"/>
      <c r="AX13" s="230"/>
      <c r="AY13" s="230"/>
      <c r="AZ13" s="230"/>
      <c r="BA13" s="654"/>
      <c r="BB13" s="654"/>
      <c r="BC13" s="654"/>
      <c r="BD13" s="654"/>
      <c r="BE13" s="654"/>
      <c r="BF13" s="654"/>
      <c r="BG13" s="654"/>
      <c r="BH13" s="654"/>
      <c r="BI13" s="654"/>
      <c r="BJ13" s="654"/>
      <c r="BK13" s="654"/>
      <c r="BL13" s="654"/>
      <c r="BM13" s="654"/>
      <c r="BN13" s="654"/>
      <c r="BO13" s="654"/>
      <c r="BP13" s="654"/>
      <c r="BQ13" s="654"/>
      <c r="BR13" s="654"/>
      <c r="BS13" s="654"/>
      <c r="BT13" s="654"/>
      <c r="BU13" s="654"/>
      <c r="BV13" s="654"/>
      <c r="BW13" s="654"/>
      <c r="BX13" s="654"/>
      <c r="BY13" s="654"/>
      <c r="BZ13" s="654"/>
    </row>
    <row r="14" spans="1:78" s="1" customFormat="1" ht="16.5" customHeight="1" x14ac:dyDescent="0.25">
      <c r="A14" s="1093" t="s">
        <v>513</v>
      </c>
      <c r="B14" s="1093"/>
      <c r="C14" s="438"/>
      <c r="D14" s="438"/>
      <c r="E14" s="438"/>
      <c r="F14" s="438"/>
      <c r="G14" s="438"/>
      <c r="H14" s="438"/>
      <c r="I14" s="438"/>
      <c r="J14" s="438"/>
      <c r="K14" s="1094"/>
      <c r="W14" s="230"/>
      <c r="X14" s="265"/>
      <c r="Y14" s="265"/>
      <c r="Z14" s="230"/>
      <c r="AA14" s="230"/>
      <c r="AB14" s="265"/>
      <c r="AC14" s="265"/>
      <c r="AN14" s="230"/>
      <c r="AO14" s="230"/>
      <c r="AP14" s="230"/>
      <c r="AQ14" s="230"/>
      <c r="AR14" s="230"/>
      <c r="AS14" s="230"/>
      <c r="AT14" s="230"/>
      <c r="AU14" s="230"/>
      <c r="AV14" s="230"/>
      <c r="AW14" s="230"/>
      <c r="AX14" s="230"/>
      <c r="AY14" s="230"/>
      <c r="AZ14" s="230"/>
      <c r="BA14" s="654"/>
      <c r="BB14" s="654"/>
      <c r="BC14" s="654"/>
      <c r="BD14" s="654"/>
      <c r="BE14" s="654"/>
      <c r="BF14" s="654"/>
      <c r="BG14" s="654"/>
      <c r="BH14" s="654"/>
      <c r="BI14" s="654"/>
      <c r="BJ14" s="654"/>
      <c r="BK14" s="654"/>
      <c r="BL14" s="654"/>
      <c r="BM14" s="654"/>
      <c r="BN14" s="654"/>
      <c r="BO14" s="654"/>
      <c r="BP14" s="654"/>
      <c r="BQ14" s="654"/>
      <c r="BR14" s="654"/>
      <c r="BS14" s="654"/>
      <c r="BT14" s="654"/>
      <c r="BU14" s="654"/>
      <c r="BV14" s="654"/>
      <c r="BW14" s="654"/>
      <c r="BX14" s="654"/>
      <c r="BY14" s="654"/>
      <c r="BZ14" s="654"/>
    </row>
    <row r="15" spans="1:78" s="867" customFormat="1" ht="16.5" customHeight="1" x14ac:dyDescent="0.25">
      <c r="A15" s="1093" t="s">
        <v>316</v>
      </c>
      <c r="B15" s="1093"/>
      <c r="C15" s="438"/>
      <c r="D15" s="438"/>
      <c r="E15" s="438"/>
      <c r="F15" s="438"/>
      <c r="G15" s="438"/>
      <c r="H15" s="438"/>
      <c r="I15" s="438"/>
      <c r="J15" s="438"/>
      <c r="K15" s="1094"/>
      <c r="W15" s="866"/>
      <c r="X15" s="868"/>
      <c r="Y15" s="868"/>
      <c r="Z15" s="866"/>
      <c r="AA15" s="866"/>
      <c r="AB15" s="868"/>
      <c r="AC15" s="868"/>
      <c r="AN15" s="866"/>
      <c r="AO15" s="866"/>
      <c r="AP15" s="866"/>
      <c r="AQ15" s="866"/>
      <c r="AR15" s="866"/>
      <c r="AS15" s="866"/>
      <c r="AT15" s="866"/>
      <c r="AU15" s="866"/>
      <c r="AV15" s="866"/>
      <c r="AW15" s="866"/>
      <c r="AX15" s="866"/>
      <c r="AY15" s="866"/>
      <c r="AZ15" s="866"/>
      <c r="BA15" s="869"/>
      <c r="BB15" s="869"/>
      <c r="BC15" s="869"/>
      <c r="BD15" s="869"/>
      <c r="BE15" s="869"/>
      <c r="BF15" s="869"/>
      <c r="BG15" s="869"/>
      <c r="BH15" s="869"/>
      <c r="BI15" s="869"/>
      <c r="BJ15" s="869"/>
      <c r="BK15" s="869"/>
      <c r="BL15" s="869"/>
      <c r="BM15" s="869"/>
      <c r="BN15" s="869"/>
      <c r="BO15" s="869"/>
      <c r="BP15" s="869"/>
      <c r="BQ15" s="869"/>
      <c r="BR15" s="869"/>
      <c r="BS15" s="869"/>
      <c r="BT15" s="869"/>
      <c r="BU15" s="869"/>
      <c r="BV15" s="869"/>
      <c r="BW15" s="869"/>
      <c r="BX15" s="869"/>
      <c r="BY15" s="869"/>
      <c r="BZ15" s="869"/>
    </row>
    <row r="16" spans="1:78" s="1" customFormat="1" ht="16.5" customHeight="1" x14ac:dyDescent="0.25">
      <c r="A16" s="1093" t="s">
        <v>529</v>
      </c>
      <c r="B16" s="1093"/>
      <c r="C16" s="438"/>
      <c r="D16" s="438"/>
      <c r="E16" s="438"/>
      <c r="F16" s="438"/>
      <c r="G16" s="438"/>
      <c r="H16" s="438"/>
      <c r="I16" s="438"/>
      <c r="J16" s="438"/>
      <c r="K16" s="1094"/>
      <c r="W16" s="230"/>
      <c r="X16" s="265"/>
      <c r="Y16" s="265"/>
      <c r="Z16" s="230"/>
      <c r="AA16" s="230"/>
      <c r="AB16" s="265"/>
      <c r="AC16" s="265"/>
      <c r="AN16" s="230"/>
      <c r="AO16" s="230"/>
      <c r="AP16" s="230"/>
      <c r="AQ16" s="230"/>
      <c r="AR16" s="230"/>
      <c r="AS16" s="230"/>
      <c r="AT16" s="230"/>
      <c r="AU16" s="230"/>
      <c r="AV16" s="230"/>
      <c r="AW16" s="230"/>
      <c r="AX16" s="230"/>
      <c r="AY16" s="230"/>
      <c r="AZ16" s="230"/>
      <c r="BA16" s="654"/>
      <c r="BB16" s="654"/>
      <c r="BC16" s="654"/>
      <c r="BD16" s="654"/>
      <c r="BE16" s="654"/>
      <c r="BF16" s="654"/>
      <c r="BG16" s="654"/>
      <c r="BH16" s="654"/>
      <c r="BI16" s="654"/>
      <c r="BJ16" s="654"/>
      <c r="BK16" s="654"/>
      <c r="BL16" s="654"/>
      <c r="BM16" s="654"/>
      <c r="BN16" s="654"/>
      <c r="BO16" s="654"/>
      <c r="BP16" s="654"/>
      <c r="BQ16" s="654"/>
      <c r="BR16" s="654"/>
      <c r="BS16" s="654"/>
      <c r="BT16" s="654"/>
      <c r="BU16" s="654"/>
      <c r="BV16" s="654"/>
      <c r="BW16" s="654"/>
      <c r="BX16" s="654"/>
      <c r="BY16" s="654"/>
      <c r="BZ16" s="654"/>
    </row>
    <row r="17" spans="1:78" s="1" customFormat="1" ht="12" customHeight="1" x14ac:dyDescent="0.25">
      <c r="A17" s="446"/>
      <c r="B17" s="447"/>
      <c r="C17" s="447"/>
      <c r="D17" s="447"/>
      <c r="E17" s="447"/>
      <c r="F17" s="447"/>
      <c r="G17" s="447"/>
      <c r="H17" s="447"/>
      <c r="I17" s="447"/>
      <c r="J17" s="447"/>
      <c r="K17" s="447"/>
      <c r="W17" s="230"/>
      <c r="X17" s="265"/>
      <c r="Y17" s="265"/>
      <c r="Z17" s="230"/>
      <c r="AA17" s="230"/>
      <c r="AB17" s="265"/>
      <c r="AC17" s="265"/>
      <c r="AN17" s="230"/>
      <c r="AO17" s="230"/>
      <c r="AP17" s="230"/>
      <c r="AQ17" s="230"/>
      <c r="AR17" s="230"/>
      <c r="AS17" s="230"/>
      <c r="AT17" s="230"/>
      <c r="AU17" s="230"/>
      <c r="AV17" s="230"/>
      <c r="AW17" s="230"/>
      <c r="AX17" s="230"/>
      <c r="AY17" s="230"/>
      <c r="AZ17" s="230"/>
      <c r="BA17" s="654"/>
      <c r="BB17" s="654"/>
      <c r="BC17" s="654"/>
      <c r="BD17" s="654"/>
      <c r="BE17" s="654"/>
      <c r="BF17" s="654"/>
      <c r="BG17" s="654"/>
      <c r="BH17" s="654"/>
      <c r="BI17" s="654"/>
      <c r="BJ17" s="654"/>
      <c r="BK17" s="654"/>
      <c r="BL17" s="654"/>
      <c r="BM17" s="654"/>
      <c r="BN17" s="654"/>
      <c r="BO17" s="654"/>
      <c r="BP17" s="654"/>
      <c r="BQ17" s="654"/>
      <c r="BR17" s="654"/>
      <c r="BS17" s="654"/>
      <c r="BT17" s="654"/>
      <c r="BU17" s="654"/>
      <c r="BV17" s="654"/>
      <c r="BW17" s="654"/>
      <c r="BX17" s="654"/>
      <c r="BY17" s="654"/>
      <c r="BZ17" s="654"/>
    </row>
    <row r="18" spans="1:78" s="840" customFormat="1" ht="12" customHeight="1" x14ac:dyDescent="0.25">
      <c r="A18" s="860" t="s">
        <v>504</v>
      </c>
      <c r="B18" s="860"/>
      <c r="C18" s="861"/>
      <c r="D18" s="861"/>
      <c r="E18" s="861"/>
      <c r="F18" s="861"/>
      <c r="G18" s="861"/>
      <c r="H18" s="861"/>
      <c r="I18" s="861"/>
      <c r="J18" s="861"/>
      <c r="K18" s="861"/>
      <c r="W18" s="839"/>
      <c r="X18" s="841"/>
      <c r="Y18" s="841"/>
      <c r="Z18" s="839"/>
      <c r="AA18" s="839"/>
      <c r="AB18" s="841"/>
      <c r="AC18" s="841"/>
      <c r="AN18" s="839"/>
      <c r="AO18" s="839"/>
      <c r="AP18" s="839"/>
      <c r="AQ18" s="839"/>
      <c r="AR18" s="839"/>
      <c r="AS18" s="839"/>
      <c r="AT18" s="839"/>
      <c r="AU18" s="839"/>
      <c r="AV18" s="839"/>
      <c r="AW18" s="839"/>
      <c r="AX18" s="839"/>
      <c r="AY18" s="839"/>
      <c r="AZ18" s="839"/>
      <c r="BA18" s="842"/>
      <c r="BB18" s="842"/>
      <c r="BC18" s="842"/>
      <c r="BD18" s="842"/>
      <c r="BE18" s="842"/>
      <c r="BF18" s="842"/>
      <c r="BG18" s="842"/>
      <c r="BH18" s="842"/>
      <c r="BI18" s="842"/>
      <c r="BJ18" s="842"/>
      <c r="BK18" s="842"/>
      <c r="BL18" s="842"/>
      <c r="BM18" s="842"/>
      <c r="BN18" s="842"/>
      <c r="BO18" s="842"/>
      <c r="BP18" s="842"/>
      <c r="BQ18" s="842"/>
      <c r="BR18" s="842"/>
      <c r="BS18" s="842"/>
      <c r="BT18" s="842"/>
      <c r="BU18" s="842"/>
      <c r="BV18" s="842"/>
      <c r="BW18" s="842"/>
      <c r="BX18" s="842"/>
      <c r="BY18" s="842"/>
      <c r="BZ18" s="842"/>
    </row>
    <row r="19" spans="1:78" s="850" customFormat="1" ht="12" hidden="1" customHeight="1" thickBot="1" x14ac:dyDescent="0.3">
      <c r="A19" s="857"/>
      <c r="B19" s="858"/>
      <c r="C19" s="859"/>
      <c r="D19" s="859"/>
      <c r="E19" s="859"/>
      <c r="F19" s="859"/>
      <c r="G19" s="859"/>
      <c r="H19" s="859"/>
      <c r="I19" s="859"/>
      <c r="J19" s="859"/>
      <c r="K19" s="859"/>
      <c r="W19" s="849"/>
      <c r="X19" s="851"/>
      <c r="Y19" s="851"/>
      <c r="Z19" s="849"/>
      <c r="AA19" s="849"/>
      <c r="AB19" s="851"/>
      <c r="AC19" s="851"/>
      <c r="AN19" s="849"/>
      <c r="AO19" s="849"/>
      <c r="AP19" s="849"/>
      <c r="AQ19" s="849"/>
      <c r="AR19" s="849"/>
      <c r="AS19" s="849"/>
      <c r="AT19" s="849"/>
      <c r="AU19" s="849"/>
      <c r="AV19" s="849"/>
      <c r="AW19" s="849"/>
      <c r="AX19" s="849"/>
      <c r="AY19" s="849"/>
      <c r="AZ19" s="849"/>
      <c r="BA19" s="852"/>
      <c r="BB19" s="852"/>
      <c r="BC19" s="852"/>
      <c r="BD19" s="852"/>
      <c r="BE19" s="852"/>
      <c r="BF19" s="852"/>
      <c r="BG19" s="852"/>
      <c r="BH19" s="852"/>
      <c r="BI19" s="852"/>
      <c r="BJ19" s="852"/>
      <c r="BK19" s="852"/>
      <c r="BL19" s="852"/>
      <c r="BM19" s="852"/>
      <c r="BN19" s="852"/>
      <c r="BO19" s="852"/>
      <c r="BP19" s="852"/>
      <c r="BQ19" s="852"/>
      <c r="BR19" s="852"/>
      <c r="BS19" s="852"/>
      <c r="BT19" s="852"/>
      <c r="BU19" s="852"/>
      <c r="BV19" s="852"/>
      <c r="BW19" s="852"/>
      <c r="BX19" s="852"/>
      <c r="BY19" s="852"/>
      <c r="BZ19" s="852"/>
    </row>
    <row r="20" spans="1:78" ht="13.8" hidden="1" x14ac:dyDescent="0.25">
      <c r="A20" s="838" t="s">
        <v>417</v>
      </c>
      <c r="B20" s="874"/>
      <c r="C20" s="72" t="s">
        <v>416</v>
      </c>
      <c r="D20" s="540"/>
      <c r="E20" s="874"/>
      <c r="F20" s="540"/>
      <c r="G20" s="540"/>
      <c r="H20" s="81" t="s">
        <v>113</v>
      </c>
      <c r="I20" s="540"/>
      <c r="J20" s="540"/>
      <c r="K20" s="540"/>
    </row>
    <row r="21" spans="1:78" ht="13.8" hidden="1" x14ac:dyDescent="0.25">
      <c r="A21" s="881" t="s">
        <v>59</v>
      </c>
      <c r="B21" s="874"/>
      <c r="C21" s="74" t="s">
        <v>59</v>
      </c>
      <c r="D21" s="540"/>
      <c r="E21" s="874"/>
      <c r="F21" s="540"/>
      <c r="G21" s="540"/>
      <c r="H21" s="76">
        <v>1</v>
      </c>
      <c r="I21" s="540"/>
      <c r="J21" s="540"/>
      <c r="K21" s="540"/>
    </row>
    <row r="22" spans="1:78" ht="13.8" hidden="1" x14ac:dyDescent="0.25">
      <c r="A22" s="881" t="s">
        <v>60</v>
      </c>
      <c r="B22" s="874"/>
      <c r="C22" s="74" t="s">
        <v>60</v>
      </c>
      <c r="D22" s="540"/>
      <c r="E22" s="874"/>
      <c r="F22" s="540"/>
      <c r="G22" s="540"/>
      <c r="H22" s="76">
        <v>2</v>
      </c>
      <c r="I22" s="540"/>
      <c r="J22" s="540"/>
      <c r="K22" s="540"/>
    </row>
    <row r="23" spans="1:78" ht="13.8" hidden="1" x14ac:dyDescent="0.25">
      <c r="A23" s="874"/>
      <c r="B23" s="874"/>
      <c r="C23" s="65" t="s">
        <v>370</v>
      </c>
      <c r="D23" s="540"/>
      <c r="E23" s="874"/>
      <c r="F23" s="540"/>
      <c r="G23" s="540"/>
      <c r="H23" s="76">
        <v>3</v>
      </c>
      <c r="I23" s="540"/>
      <c r="J23" s="540"/>
      <c r="K23" s="540"/>
    </row>
    <row r="24" spans="1:78" ht="13.8" hidden="1" x14ac:dyDescent="0.25">
      <c r="A24" s="874"/>
      <c r="B24" s="874"/>
      <c r="C24" s="874"/>
      <c r="D24" s="874"/>
      <c r="E24" s="874"/>
      <c r="F24" s="874"/>
      <c r="G24" s="874"/>
      <c r="H24" s="76">
        <v>4</v>
      </c>
      <c r="I24" s="874"/>
      <c r="J24" s="874"/>
      <c r="K24" s="874"/>
    </row>
    <row r="25" spans="1:78" ht="13.8" hidden="1" x14ac:dyDescent="0.25">
      <c r="A25" s="874"/>
      <c r="B25" s="874"/>
      <c r="C25" s="874"/>
      <c r="D25" s="874"/>
      <c r="E25" s="874"/>
      <c r="F25" s="874"/>
      <c r="G25" s="874"/>
      <c r="H25" s="76">
        <v>5</v>
      </c>
      <c r="I25" s="874"/>
      <c r="J25" s="874"/>
      <c r="K25" s="874"/>
    </row>
    <row r="26" spans="1:78" s="854" customFormat="1" ht="12" customHeight="1" x14ac:dyDescent="0.3">
      <c r="A26" s="882" t="s">
        <v>502</v>
      </c>
      <c r="B26" s="883"/>
      <c r="C26" s="884"/>
      <c r="D26" s="884"/>
      <c r="E26" s="884"/>
      <c r="F26" s="884"/>
      <c r="G26" s="884"/>
      <c r="H26" s="884"/>
      <c r="I26" s="884"/>
      <c r="J26" s="884"/>
      <c r="K26" s="884"/>
      <c r="W26" s="853"/>
      <c r="X26" s="855"/>
      <c r="Y26" s="855"/>
      <c r="Z26" s="853"/>
      <c r="AA26" s="853"/>
      <c r="AB26" s="855"/>
      <c r="AC26" s="855"/>
      <c r="AN26" s="853"/>
      <c r="AO26" s="853"/>
      <c r="AP26" s="853"/>
      <c r="AQ26" s="853"/>
      <c r="AR26" s="853"/>
      <c r="AS26" s="853"/>
      <c r="AT26" s="853"/>
      <c r="AU26" s="853"/>
      <c r="AV26" s="853"/>
      <c r="AW26" s="853"/>
      <c r="AX26" s="853"/>
      <c r="AY26" s="853"/>
      <c r="AZ26" s="853"/>
      <c r="BA26" s="856"/>
      <c r="BB26" s="856"/>
      <c r="BC26" s="856"/>
      <c r="BD26" s="856"/>
      <c r="BE26" s="856"/>
      <c r="BF26" s="856"/>
      <c r="BG26" s="856"/>
      <c r="BH26" s="856"/>
      <c r="BI26" s="856"/>
      <c r="BJ26" s="856"/>
      <c r="BK26" s="856"/>
      <c r="BL26" s="856"/>
      <c r="BM26" s="856"/>
      <c r="BN26" s="856"/>
      <c r="BO26" s="856"/>
      <c r="BP26" s="856"/>
      <c r="BQ26" s="856"/>
      <c r="BR26" s="856"/>
      <c r="BS26" s="856"/>
      <c r="BT26" s="856"/>
      <c r="BU26" s="856"/>
      <c r="BV26" s="856"/>
      <c r="BW26" s="856"/>
      <c r="BX26" s="856"/>
      <c r="BY26" s="856"/>
      <c r="BZ26" s="856"/>
    </row>
  </sheetData>
  <sheetProtection algorithmName="SHA-512" hashValue="WwLiPsnpzCeJZ0q/DZN9iyUZOC7SqXXNl6iaXQ8EuL3jNOPSYxyBmUf7j3QwfWULitOvNi+3l/tdVo7L6x4gNw==" saltValue="JsNXmeztOUvfxcLdePtrcw==" spinCount="100000" sheet="1" objects="1" scenarios="1"/>
  <mergeCells count="2">
    <mergeCell ref="A4:B4"/>
    <mergeCell ref="G11:I11"/>
  </mergeCells>
  <dataValidations xWindow="674" yWindow="335" count="3">
    <dataValidation type="list" allowBlank="1" showInputMessage="1" showErrorMessage="1" prompt="This could be when ISMMS is a subaward on another institution’s NIH grant. Another example is when ISMMS receives funds directly from the NIH. " sqref="C4">
      <formula1>$A$21:$A$22</formula1>
    </dataValidation>
    <dataValidation type="list" allowBlank="1" showInputMessage="1" showErrorMessage="1" sqref="G11:I11">
      <formula1>$C$21:$C$23</formula1>
    </dataValidation>
    <dataValidation type="list" allowBlank="1" showInputMessage="1" showErrorMessage="1" prompt="Any budget period that is less than one year, round up to the following year. For example if your project will run for 1.5 years, choose 2.  _x000a__x000a_" sqref="C8">
      <formula1>$H$21:$H$25</formula1>
    </dataValidation>
  </dataValidations>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13"/>
  <sheetViews>
    <sheetView zoomScale="110" zoomScaleNormal="110" zoomScalePageLayoutView="75" workbookViewId="0">
      <selection activeCell="B4" sqref="B4"/>
    </sheetView>
  </sheetViews>
  <sheetFormatPr defaultColWidth="9.109375" defaultRowHeight="14.4" x14ac:dyDescent="0.3"/>
  <cols>
    <col min="1" max="1" width="54.109375" style="806" customWidth="1"/>
    <col min="2" max="2" width="15" style="806" customWidth="1"/>
    <col min="3" max="3" width="10.44140625" style="806" customWidth="1"/>
    <col min="4" max="4" width="10.44140625" style="806" bestFit="1" customWidth="1"/>
    <col min="5" max="5" width="9.109375" style="806"/>
    <col min="6" max="6" width="11" style="806" customWidth="1"/>
    <col min="7" max="17" width="9.109375" style="27"/>
    <col min="18" max="70" width="9.109375" style="34"/>
    <col min="71" max="16384" width="9.109375" style="27"/>
  </cols>
  <sheetData>
    <row r="1" spans="1:70" ht="15.6" x14ac:dyDescent="0.3">
      <c r="A1" s="1541" t="s">
        <v>315</v>
      </c>
      <c r="B1" s="1541"/>
      <c r="C1" s="1541"/>
      <c r="D1" s="1541"/>
      <c r="E1" s="1541"/>
      <c r="F1" s="1541"/>
      <c r="G1" s="1011"/>
      <c r="H1" s="30"/>
      <c r="I1" s="30"/>
      <c r="J1" s="34"/>
      <c r="K1" s="34"/>
      <c r="L1" s="34"/>
      <c r="M1" s="34"/>
      <c r="N1" s="34"/>
      <c r="O1" s="34"/>
      <c r="P1" s="34"/>
      <c r="Q1" s="34"/>
    </row>
    <row r="2" spans="1:70" ht="12.75" customHeight="1" x14ac:dyDescent="0.3">
      <c r="A2" s="1011"/>
      <c r="B2" s="1011"/>
      <c r="C2" s="1011"/>
      <c r="D2" s="1011"/>
      <c r="E2" s="1011"/>
      <c r="F2" s="1011"/>
      <c r="G2" s="1011"/>
      <c r="H2" s="30"/>
      <c r="I2" s="30"/>
      <c r="J2" s="34"/>
      <c r="K2" s="34"/>
      <c r="L2" s="34"/>
      <c r="M2" s="34"/>
      <c r="N2" s="34"/>
      <c r="O2" s="34"/>
      <c r="P2" s="34"/>
      <c r="Q2" s="34"/>
    </row>
    <row r="3" spans="1:70" ht="15.6" x14ac:dyDescent="0.3">
      <c r="A3" s="1542" t="s">
        <v>246</v>
      </c>
      <c r="B3" s="1543"/>
      <c r="C3" s="1543"/>
      <c r="D3" s="1543"/>
      <c r="E3" s="1543"/>
      <c r="F3" s="1544"/>
      <c r="G3" s="1011"/>
      <c r="H3" s="26"/>
      <c r="I3" s="26"/>
    </row>
    <row r="4" spans="1:70" x14ac:dyDescent="0.3">
      <c r="A4" s="764" t="s">
        <v>79</v>
      </c>
      <c r="B4" s="1050">
        <v>47000</v>
      </c>
      <c r="C4" s="765"/>
      <c r="D4" s="766"/>
      <c r="E4" s="766"/>
      <c r="F4" s="1056" t="s">
        <v>632</v>
      </c>
      <c r="G4" s="1011"/>
      <c r="H4" s="26"/>
      <c r="I4" s="26"/>
    </row>
    <row r="5" spans="1:70" x14ac:dyDescent="0.3">
      <c r="A5" s="764" t="s">
        <v>78</v>
      </c>
      <c r="B5" s="807">
        <v>8510</v>
      </c>
      <c r="C5" s="765"/>
      <c r="D5" s="766"/>
      <c r="E5" s="766"/>
      <c r="F5" s="767"/>
      <c r="G5" s="1011"/>
      <c r="H5" s="1019"/>
      <c r="I5" s="26"/>
    </row>
    <row r="6" spans="1:70" x14ac:dyDescent="0.3">
      <c r="A6" s="764" t="s">
        <v>505</v>
      </c>
      <c r="B6" s="808">
        <v>1101</v>
      </c>
      <c r="C6" s="765"/>
      <c r="D6" s="766"/>
      <c r="E6" s="766"/>
      <c r="F6" s="767"/>
      <c r="G6" s="1011"/>
      <c r="H6" s="26"/>
      <c r="I6" s="26"/>
    </row>
    <row r="7" spans="1:70" x14ac:dyDescent="0.3">
      <c r="A7" s="764" t="s">
        <v>517</v>
      </c>
      <c r="B7" s="1050">
        <f>SUM(B4:B6)</f>
        <v>56611</v>
      </c>
      <c r="C7" s="765"/>
      <c r="D7" s="766"/>
      <c r="E7" s="766"/>
      <c r="F7" s="767"/>
      <c r="G7" s="1011"/>
      <c r="H7" s="26"/>
      <c r="I7" s="26"/>
    </row>
    <row r="8" spans="1:70" ht="138.75" customHeight="1" x14ac:dyDescent="0.3">
      <c r="A8" s="594"/>
      <c r="B8" s="768"/>
      <c r="C8" s="769"/>
      <c r="D8" s="770"/>
      <c r="E8" s="770"/>
      <c r="F8" s="770"/>
      <c r="G8" s="1011"/>
      <c r="H8" s="26"/>
      <c r="I8" s="26"/>
    </row>
    <row r="9" spans="1:70" s="203" customFormat="1" ht="37.5" customHeight="1" x14ac:dyDescent="0.3">
      <c r="A9" s="1540" t="s">
        <v>117</v>
      </c>
      <c r="B9" s="1540"/>
      <c r="C9" s="1540"/>
      <c r="D9" s="1540"/>
      <c r="E9" s="1540"/>
      <c r="F9" s="1540"/>
      <c r="G9" s="1011"/>
      <c r="H9" s="26"/>
      <c r="I9" s="26"/>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row>
    <row r="10" spans="1:70" s="203" customFormat="1" x14ac:dyDescent="0.3">
      <c r="A10" s="597" t="s">
        <v>109</v>
      </c>
      <c r="B10" s="784"/>
      <c r="C10" s="771"/>
      <c r="D10" s="772"/>
      <c r="E10" s="772"/>
      <c r="F10" s="772"/>
      <c r="G10" s="1011"/>
      <c r="H10" s="26"/>
      <c r="I10" s="26"/>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row>
    <row r="11" spans="1:70" s="203" customFormat="1" x14ac:dyDescent="0.3">
      <c r="A11" s="593" t="s">
        <v>629</v>
      </c>
      <c r="B11" s="998"/>
      <c r="C11" s="1452">
        <v>0</v>
      </c>
      <c r="D11" s="774"/>
      <c r="E11" s="774"/>
      <c r="F11" s="774"/>
      <c r="G11" s="1011"/>
      <c r="H11" s="30"/>
      <c r="I11" s="30"/>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row>
    <row r="12" spans="1:70" s="207" customFormat="1" x14ac:dyDescent="0.3">
      <c r="A12" s="592"/>
      <c r="B12" s="999"/>
      <c r="C12" s="592"/>
      <c r="D12" s="774"/>
      <c r="E12" s="774"/>
      <c r="F12" s="774"/>
      <c r="G12" s="1011"/>
      <c r="H12" s="35"/>
      <c r="I12" s="35"/>
      <c r="J12" s="206"/>
      <c r="K12" s="206"/>
      <c r="L12" s="206"/>
      <c r="M12" s="206"/>
      <c r="N12" s="206"/>
      <c r="O12" s="206"/>
      <c r="P12" s="206"/>
      <c r="Q12" s="206"/>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row>
    <row r="13" spans="1:70" s="203" customFormat="1" ht="15" thickBot="1" x14ac:dyDescent="0.35">
      <c r="A13" s="593" t="s">
        <v>239</v>
      </c>
      <c r="B13" s="998"/>
      <c r="C13" s="809">
        <f>B57</f>
        <v>0</v>
      </c>
      <c r="D13" s="775"/>
      <c r="E13" s="775"/>
      <c r="F13" s="775"/>
      <c r="G13" s="1011"/>
      <c r="I13" s="28"/>
      <c r="J13" s="29"/>
      <c r="K13" s="29"/>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row>
    <row r="14" spans="1:70" s="203" customFormat="1" ht="15.6" thickTop="1" thickBot="1" x14ac:dyDescent="0.35">
      <c r="A14" s="593" t="s">
        <v>242</v>
      </c>
      <c r="B14" s="998"/>
      <c r="C14" s="599" t="s">
        <v>59</v>
      </c>
      <c r="D14" s="998"/>
      <c r="E14" s="775"/>
      <c r="F14" s="775"/>
      <c r="G14" s="1011"/>
      <c r="I14" s="28"/>
      <c r="J14" s="29"/>
      <c r="K14" s="29"/>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row>
    <row r="15" spans="1:70" s="203" customFormat="1" ht="15" thickTop="1" x14ac:dyDescent="0.3">
      <c r="A15" s="593" t="s">
        <v>247</v>
      </c>
      <c r="B15" s="998"/>
      <c r="C15" s="775"/>
      <c r="D15" s="1005"/>
      <c r="E15" s="775"/>
      <c r="F15" s="775"/>
      <c r="G15" s="1011"/>
      <c r="I15" s="28"/>
      <c r="J15" s="29"/>
      <c r="K15" s="29"/>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row>
    <row r="16" spans="1:70" s="203" customFormat="1" x14ac:dyDescent="0.3">
      <c r="A16" s="593" t="s">
        <v>248</v>
      </c>
      <c r="B16" s="998"/>
      <c r="C16" s="998"/>
      <c r="D16" s="1005"/>
      <c r="E16" s="775"/>
      <c r="F16" s="775"/>
      <c r="G16" s="1011"/>
      <c r="I16" s="28"/>
      <c r="J16" s="29"/>
      <c r="K16" s="29"/>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row>
    <row r="17" spans="1:70" s="203" customFormat="1" x14ac:dyDescent="0.3">
      <c r="A17" s="593" t="s">
        <v>243</v>
      </c>
      <c r="B17" s="998"/>
      <c r="C17" s="600"/>
      <c r="D17" s="774"/>
      <c r="E17" s="774"/>
      <c r="F17" s="774"/>
      <c r="G17" s="1011"/>
      <c r="I17" s="26"/>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row>
    <row r="18" spans="1:70" s="203" customFormat="1" x14ac:dyDescent="0.3">
      <c r="A18" s="593"/>
      <c r="B18" s="1000"/>
      <c r="C18" s="592"/>
      <c r="D18" s="774"/>
      <c r="E18" s="774"/>
      <c r="F18" s="774"/>
      <c r="G18" s="1011"/>
      <c r="I18" s="26"/>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row>
    <row r="19" spans="1:70" s="206" customFormat="1" ht="15" customHeight="1" x14ac:dyDescent="0.3">
      <c r="A19" s="1003" t="s">
        <v>240</v>
      </c>
      <c r="B19" s="1001"/>
      <c r="C19" s="1001"/>
      <c r="D19" s="1001"/>
      <c r="E19" s="1001"/>
      <c r="F19" s="1001"/>
      <c r="G19" s="1011"/>
    </row>
    <row r="20" spans="1:70" s="206" customFormat="1" x14ac:dyDescent="0.3">
      <c r="A20" s="1004" t="s">
        <v>91</v>
      </c>
      <c r="B20" s="596"/>
      <c r="C20" s="1007">
        <f>B4*C11/12</f>
        <v>0</v>
      </c>
      <c r="D20" s="596"/>
      <c r="E20" s="596"/>
      <c r="F20" s="596"/>
      <c r="G20" s="1011"/>
      <c r="H20" s="1451"/>
    </row>
    <row r="21" spans="1:70" s="206" customFormat="1" x14ac:dyDescent="0.3">
      <c r="A21" s="596" t="s">
        <v>92</v>
      </c>
      <c r="B21" s="596"/>
      <c r="C21" s="1007">
        <f>B5*C11/12</f>
        <v>0</v>
      </c>
      <c r="D21" s="1006"/>
      <c r="E21" s="596"/>
      <c r="F21" s="596"/>
      <c r="G21" s="1011"/>
      <c r="H21" s="33"/>
    </row>
    <row r="22" spans="1:70" s="206" customFormat="1" x14ac:dyDescent="0.3">
      <c r="A22" s="596" t="s">
        <v>107</v>
      </c>
      <c r="B22" s="596"/>
      <c r="C22" s="1008">
        <f>IF(C14="Yes", B57, C17)</f>
        <v>0</v>
      </c>
      <c r="D22" s="596"/>
      <c r="E22" s="596"/>
      <c r="F22" s="596"/>
      <c r="G22" s="1011"/>
      <c r="H22" s="31"/>
    </row>
    <row r="23" spans="1:70" s="206" customFormat="1" x14ac:dyDescent="0.3">
      <c r="A23" s="596" t="s">
        <v>95</v>
      </c>
      <c r="B23" s="596"/>
      <c r="C23" s="1007">
        <f>SUM(C20:C22)</f>
        <v>0</v>
      </c>
      <c r="D23" s="596"/>
      <c r="E23" s="596"/>
      <c r="F23" s="596"/>
      <c r="G23" s="1011"/>
      <c r="H23" s="203"/>
    </row>
    <row r="24" spans="1:70" s="206" customFormat="1" x14ac:dyDescent="0.3">
      <c r="A24" s="596"/>
      <c r="B24" s="1002"/>
      <c r="C24" s="596"/>
      <c r="D24" s="596"/>
      <c r="E24" s="596"/>
      <c r="F24" s="596"/>
      <c r="G24" s="1011"/>
      <c r="H24" s="203"/>
    </row>
    <row r="25" spans="1:70" s="203" customFormat="1" x14ac:dyDescent="0.3">
      <c r="A25" s="597" t="s">
        <v>110</v>
      </c>
      <c r="B25" s="784"/>
      <c r="C25" s="771"/>
      <c r="D25" s="772"/>
      <c r="E25" s="772"/>
      <c r="F25" s="772"/>
      <c r="G25" s="1011"/>
      <c r="H25" s="26"/>
      <c r="I25" s="26"/>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05"/>
      <c r="BN25" s="205"/>
      <c r="BO25" s="205"/>
      <c r="BP25" s="205"/>
      <c r="BQ25" s="205"/>
      <c r="BR25" s="205"/>
    </row>
    <row r="26" spans="1:70" s="203" customFormat="1" x14ac:dyDescent="0.3">
      <c r="A26" s="593" t="s">
        <v>631</v>
      </c>
      <c r="B26" s="998"/>
      <c r="C26" s="1452">
        <v>0</v>
      </c>
      <c r="D26" s="774"/>
      <c r="E26" s="774"/>
      <c r="F26" s="774"/>
      <c r="G26" s="1011"/>
      <c r="H26" s="30"/>
      <c r="I26" s="30"/>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c r="BE26" s="205"/>
      <c r="BF26" s="205"/>
      <c r="BG26" s="205"/>
      <c r="BH26" s="205"/>
      <c r="BI26" s="205"/>
      <c r="BJ26" s="205"/>
      <c r="BK26" s="205"/>
      <c r="BL26" s="205"/>
      <c r="BM26" s="205"/>
      <c r="BN26" s="205"/>
      <c r="BO26" s="205"/>
      <c r="BP26" s="205"/>
      <c r="BQ26" s="205"/>
      <c r="BR26" s="205"/>
    </row>
    <row r="27" spans="1:70" s="207" customFormat="1" x14ac:dyDescent="0.3">
      <c r="A27" s="592"/>
      <c r="B27" s="999"/>
      <c r="C27" s="592"/>
      <c r="D27" s="774"/>
      <c r="E27" s="774"/>
      <c r="F27" s="774"/>
      <c r="G27" s="1011"/>
      <c r="H27" s="35"/>
      <c r="I27" s="35"/>
      <c r="J27" s="206"/>
      <c r="K27" s="206"/>
      <c r="L27" s="206"/>
      <c r="M27" s="206"/>
      <c r="N27" s="206"/>
      <c r="O27" s="206"/>
      <c r="P27" s="206"/>
      <c r="Q27" s="206"/>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5"/>
      <c r="BP27" s="205"/>
      <c r="BQ27" s="205"/>
      <c r="BR27" s="205"/>
    </row>
    <row r="28" spans="1:70" s="203" customFormat="1" ht="15" thickBot="1" x14ac:dyDescent="0.35">
      <c r="A28" s="593" t="s">
        <v>239</v>
      </c>
      <c r="B28" s="998"/>
      <c r="C28" s="809">
        <f>B66</f>
        <v>0</v>
      </c>
      <c r="D28" s="775"/>
      <c r="E28" s="775"/>
      <c r="F28" s="775"/>
      <c r="G28" s="1011"/>
      <c r="I28" s="28"/>
      <c r="J28" s="29"/>
      <c r="K28" s="29"/>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row>
    <row r="29" spans="1:70" s="203" customFormat="1" ht="15.6" thickTop="1" thickBot="1" x14ac:dyDescent="0.35">
      <c r="A29" s="593" t="s">
        <v>244</v>
      </c>
      <c r="B29" s="998"/>
      <c r="C29" s="599" t="s">
        <v>59</v>
      </c>
      <c r="D29" s="775"/>
      <c r="E29" s="775"/>
      <c r="F29" s="775"/>
      <c r="G29" s="1011"/>
      <c r="I29" s="28"/>
      <c r="J29" s="29"/>
      <c r="K29" s="29"/>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row>
    <row r="30" spans="1:70" s="203" customFormat="1" ht="15" thickTop="1" x14ac:dyDescent="0.3">
      <c r="A30" s="593" t="s">
        <v>247</v>
      </c>
      <c r="B30" s="998"/>
      <c r="C30" s="998"/>
      <c r="D30" s="1005"/>
      <c r="E30" s="775"/>
      <c r="F30" s="775"/>
      <c r="G30" s="1011"/>
      <c r="I30" s="28"/>
      <c r="J30" s="29"/>
      <c r="K30" s="29"/>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row>
    <row r="31" spans="1:70" s="203" customFormat="1" x14ac:dyDescent="0.3">
      <c r="A31" s="593" t="s">
        <v>248</v>
      </c>
      <c r="B31" s="998"/>
      <c r="C31" s="998"/>
      <c r="D31" s="1005"/>
      <c r="E31" s="775"/>
      <c r="F31" s="775"/>
      <c r="G31" s="1011"/>
      <c r="I31" s="28"/>
      <c r="J31" s="29"/>
      <c r="K31" s="29"/>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R31" s="205"/>
    </row>
    <row r="32" spans="1:70" s="203" customFormat="1" x14ac:dyDescent="0.3">
      <c r="A32" s="593" t="s">
        <v>259</v>
      </c>
      <c r="B32" s="998"/>
      <c r="C32" s="600">
        <v>0</v>
      </c>
      <c r="D32" s="774"/>
      <c r="E32" s="774"/>
      <c r="F32" s="774"/>
      <c r="G32" s="1011"/>
      <c r="I32" s="26"/>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row>
    <row r="33" spans="1:70" s="203" customFormat="1" x14ac:dyDescent="0.3">
      <c r="A33" s="593"/>
      <c r="B33" s="998"/>
      <c r="C33" s="1000"/>
      <c r="D33" s="774"/>
      <c r="E33" s="774"/>
      <c r="F33" s="774"/>
      <c r="G33" s="1011"/>
      <c r="I33" s="26"/>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row>
    <row r="34" spans="1:70" s="206" customFormat="1" ht="15" customHeight="1" x14ac:dyDescent="0.3">
      <c r="A34" s="1003" t="s">
        <v>245</v>
      </c>
      <c r="B34" s="1001"/>
      <c r="C34" s="1001"/>
      <c r="D34" s="1001"/>
      <c r="E34" s="1001"/>
      <c r="F34" s="1001"/>
      <c r="G34" s="1011"/>
    </row>
    <row r="35" spans="1:70" s="206" customFormat="1" x14ac:dyDescent="0.3">
      <c r="A35" s="1004" t="s">
        <v>91</v>
      </c>
      <c r="B35" s="596"/>
      <c r="C35" s="1007">
        <f>B4*C26/12</f>
        <v>0</v>
      </c>
      <c r="D35" s="596"/>
      <c r="E35" s="596"/>
      <c r="F35" s="596"/>
      <c r="G35" s="1011"/>
      <c r="H35" s="32"/>
    </row>
    <row r="36" spans="1:70" s="206" customFormat="1" x14ac:dyDescent="0.3">
      <c r="A36" s="596" t="s">
        <v>92</v>
      </c>
      <c r="B36" s="596"/>
      <c r="C36" s="1007">
        <f>B5*C26/12</f>
        <v>0</v>
      </c>
      <c r="D36" s="1006"/>
      <c r="E36" s="596"/>
      <c r="F36" s="596"/>
      <c r="G36" s="1011"/>
      <c r="H36" s="33"/>
    </row>
    <row r="37" spans="1:70" s="206" customFormat="1" x14ac:dyDescent="0.3">
      <c r="A37" s="596" t="s">
        <v>107</v>
      </c>
      <c r="B37" s="596"/>
      <c r="C37" s="1008">
        <f>IF(C29="Yes", B66, C32)</f>
        <v>0</v>
      </c>
      <c r="D37" s="596"/>
      <c r="E37" s="596"/>
      <c r="F37" s="596"/>
      <c r="G37" s="1011"/>
      <c r="H37" s="31"/>
    </row>
    <row r="38" spans="1:70" s="206" customFormat="1" x14ac:dyDescent="0.3">
      <c r="A38" s="596" t="s">
        <v>95</v>
      </c>
      <c r="B38" s="596"/>
      <c r="C38" s="1007">
        <f>SUM(C35:C37)</f>
        <v>0</v>
      </c>
      <c r="D38" s="596"/>
      <c r="E38" s="596"/>
      <c r="F38" s="596"/>
      <c r="G38" s="1011"/>
      <c r="H38" s="203"/>
    </row>
    <row r="39" spans="1:70" s="206" customFormat="1" x14ac:dyDescent="0.3">
      <c r="A39" s="596"/>
      <c r="B39" s="596"/>
      <c r="C39" s="1002"/>
      <c r="D39" s="596"/>
      <c r="E39" s="596"/>
      <c r="F39" s="596"/>
      <c r="G39" s="1011"/>
      <c r="H39" s="203"/>
    </row>
    <row r="40" spans="1:70" s="203" customFormat="1" x14ac:dyDescent="0.3">
      <c r="A40" s="1538" t="s">
        <v>234</v>
      </c>
      <c r="B40" s="1538"/>
      <c r="C40" s="1538"/>
      <c r="D40" s="1538"/>
      <c r="E40" s="1538"/>
      <c r="F40" s="1538"/>
      <c r="G40" s="1011"/>
      <c r="I40" s="26"/>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5"/>
      <c r="BR40" s="205"/>
    </row>
    <row r="41" spans="1:70" s="206" customFormat="1" x14ac:dyDescent="0.3">
      <c r="A41" s="1009" t="s">
        <v>91</v>
      </c>
      <c r="B41" s="596"/>
      <c r="C41" s="1010">
        <f>C20+C35</f>
        <v>0</v>
      </c>
      <c r="D41" s="1011"/>
      <c r="E41" s="1011"/>
      <c r="F41" s="1011"/>
      <c r="G41" s="1011"/>
      <c r="H41" s="32"/>
    </row>
    <row r="42" spans="1:70" s="206" customFormat="1" x14ac:dyDescent="0.3">
      <c r="A42" s="1011" t="s">
        <v>92</v>
      </c>
      <c r="B42" s="596"/>
      <c r="C42" s="1010">
        <f>C21+C36</f>
        <v>0</v>
      </c>
      <c r="D42" s="1012"/>
      <c r="E42" s="1011"/>
      <c r="F42" s="1011"/>
      <c r="G42" s="1011"/>
      <c r="H42" s="33"/>
    </row>
    <row r="43" spans="1:70" s="206" customFormat="1" x14ac:dyDescent="0.3">
      <c r="A43" s="1011" t="s">
        <v>107</v>
      </c>
      <c r="B43" s="596"/>
      <c r="C43" s="1013">
        <f>C22+C37</f>
        <v>0</v>
      </c>
      <c r="D43" s="1011"/>
      <c r="E43" s="1011"/>
      <c r="F43" s="1011"/>
      <c r="G43" s="1011"/>
      <c r="H43" s="31"/>
    </row>
    <row r="44" spans="1:70" s="206" customFormat="1" x14ac:dyDescent="0.3">
      <c r="A44" s="1011" t="s">
        <v>95</v>
      </c>
      <c r="B44" s="596"/>
      <c r="C44" s="1010">
        <f>SUM(C41:C43)</f>
        <v>0</v>
      </c>
      <c r="D44" s="1011"/>
      <c r="E44" s="1011"/>
      <c r="F44" s="1011"/>
      <c r="G44" s="1011"/>
      <c r="H44" s="203"/>
    </row>
    <row r="45" spans="1:70" s="203" customFormat="1" x14ac:dyDescent="0.3">
      <c r="A45" s="1539" t="s">
        <v>633</v>
      </c>
      <c r="B45" s="1539"/>
      <c r="C45" s="1539"/>
      <c r="D45" s="1539"/>
      <c r="E45" s="1539"/>
      <c r="F45" s="1539"/>
      <c r="G45" s="1453"/>
      <c r="I45" s="28"/>
      <c r="J45" s="29"/>
      <c r="K45" s="29"/>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5"/>
      <c r="BR45" s="205"/>
    </row>
    <row r="46" spans="1:70" s="203" customFormat="1" hidden="1" x14ac:dyDescent="0.3">
      <c r="A46" s="785" t="s">
        <v>63</v>
      </c>
      <c r="B46" s="786"/>
      <c r="C46" s="786"/>
      <c r="D46" s="786"/>
      <c r="E46" s="786"/>
      <c r="F46" s="786"/>
      <c r="G46" s="1011"/>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5"/>
      <c r="BR46" s="205"/>
    </row>
    <row r="47" spans="1:70" s="203" customFormat="1" hidden="1" x14ac:dyDescent="0.3">
      <c r="A47" s="787" t="s">
        <v>59</v>
      </c>
      <c r="B47" s="786"/>
      <c r="C47" s="786"/>
      <c r="D47" s="786"/>
      <c r="E47" s="786"/>
      <c r="F47" s="786"/>
      <c r="G47" s="1011"/>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5"/>
      <c r="BR47" s="205"/>
    </row>
    <row r="48" spans="1:70" s="203" customFormat="1" hidden="1" x14ac:dyDescent="0.3">
      <c r="A48" s="787" t="s">
        <v>60</v>
      </c>
      <c r="B48" s="786"/>
      <c r="C48" s="786"/>
      <c r="D48" s="786"/>
      <c r="E48" s="786"/>
      <c r="F48" s="786"/>
      <c r="G48" s="1011"/>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5"/>
      <c r="BR48" s="205"/>
    </row>
    <row r="49" spans="1:70" s="203" customFormat="1" hidden="1" x14ac:dyDescent="0.3">
      <c r="A49" s="788" t="s">
        <v>235</v>
      </c>
      <c r="B49" s="786"/>
      <c r="C49" s="786"/>
      <c r="D49" s="786"/>
      <c r="E49" s="786"/>
      <c r="F49" s="786"/>
      <c r="G49" s="1011"/>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5"/>
      <c r="BR49" s="205"/>
    </row>
    <row r="50" spans="1:70" s="203" customFormat="1" hidden="1" x14ac:dyDescent="0.3">
      <c r="A50" s="788" t="s">
        <v>109</v>
      </c>
      <c r="B50" s="786"/>
      <c r="C50" s="786"/>
      <c r="D50" s="786"/>
      <c r="E50" s="786"/>
      <c r="F50" s="786"/>
      <c r="G50" s="1011"/>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5"/>
      <c r="BR50" s="205"/>
    </row>
    <row r="51" spans="1:70" s="203" customFormat="1" hidden="1" x14ac:dyDescent="0.3">
      <c r="A51" s="789" t="s">
        <v>79</v>
      </c>
      <c r="B51" s="790">
        <f>C20</f>
        <v>0</v>
      </c>
      <c r="C51" s="786"/>
      <c r="D51" s="786"/>
      <c r="E51" s="786"/>
      <c r="F51" s="786"/>
      <c r="G51" s="1011"/>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5"/>
      <c r="BR51" s="205"/>
    </row>
    <row r="52" spans="1:70" s="203" customFormat="1" hidden="1" x14ac:dyDescent="0.3">
      <c r="A52" s="789" t="s">
        <v>78</v>
      </c>
      <c r="B52" s="790">
        <f>C21</f>
        <v>0</v>
      </c>
      <c r="C52" s="786"/>
      <c r="D52" s="786"/>
      <c r="E52" s="786"/>
      <c r="F52" s="786"/>
      <c r="G52" s="1011"/>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5"/>
      <c r="BR52" s="205"/>
    </row>
    <row r="53" spans="1:70" s="203" customFormat="1" hidden="1" x14ac:dyDescent="0.3">
      <c r="A53" s="786" t="s">
        <v>4</v>
      </c>
      <c r="B53" s="790">
        <f>SUM(B51:B52)</f>
        <v>0</v>
      </c>
      <c r="C53" s="786"/>
      <c r="D53" s="786"/>
      <c r="E53" s="786"/>
      <c r="F53" s="786"/>
      <c r="G53" s="1011"/>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5"/>
      <c r="BR53" s="205"/>
    </row>
    <row r="54" spans="1:70" s="203" customFormat="1" hidden="1" x14ac:dyDescent="0.3">
      <c r="A54" s="786"/>
      <c r="B54" s="786"/>
      <c r="C54" s="786"/>
      <c r="D54" s="786"/>
      <c r="E54" s="786"/>
      <c r="F54" s="786"/>
      <c r="G54" s="1011"/>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5"/>
      <c r="BR54" s="205"/>
    </row>
    <row r="55" spans="1:70" s="203" customFormat="1" hidden="1" x14ac:dyDescent="0.3">
      <c r="A55" s="786" t="s">
        <v>89</v>
      </c>
      <c r="B55" s="790">
        <f>B7*C11/12</f>
        <v>0</v>
      </c>
      <c r="C55" s="786"/>
      <c r="D55" s="786"/>
      <c r="E55" s="786"/>
      <c r="F55" s="786"/>
      <c r="G55" s="1011"/>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05"/>
      <c r="BC55" s="205"/>
      <c r="BD55" s="205"/>
      <c r="BE55" s="205"/>
      <c r="BF55" s="205"/>
      <c r="BG55" s="205"/>
      <c r="BH55" s="205"/>
      <c r="BI55" s="205"/>
      <c r="BJ55" s="205"/>
      <c r="BK55" s="205"/>
      <c r="BL55" s="205"/>
      <c r="BM55" s="205"/>
      <c r="BN55" s="205"/>
      <c r="BO55" s="205"/>
      <c r="BP55" s="205"/>
      <c r="BQ55" s="205"/>
      <c r="BR55" s="205"/>
    </row>
    <row r="56" spans="1:70" s="203" customFormat="1" hidden="1" x14ac:dyDescent="0.3">
      <c r="A56" s="786"/>
      <c r="B56" s="786"/>
      <c r="C56" s="786"/>
      <c r="D56" s="786"/>
      <c r="E56" s="786"/>
      <c r="F56" s="786"/>
      <c r="G56" s="1011"/>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5"/>
      <c r="BR56" s="205"/>
    </row>
    <row r="57" spans="1:70" s="203" customFormat="1" hidden="1" x14ac:dyDescent="0.3">
      <c r="A57" s="786" t="s">
        <v>90</v>
      </c>
      <c r="B57" s="790">
        <f>B55-B53</f>
        <v>0</v>
      </c>
      <c r="C57" s="786"/>
      <c r="D57" s="786"/>
      <c r="E57" s="786"/>
      <c r="F57" s="786"/>
      <c r="G57" s="1011"/>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5"/>
      <c r="BR57" s="205"/>
    </row>
    <row r="58" spans="1:70" s="203" customFormat="1" hidden="1" x14ac:dyDescent="0.3">
      <c r="A58" s="786"/>
      <c r="B58" s="790"/>
      <c r="C58" s="786"/>
      <c r="D58" s="786"/>
      <c r="E58" s="786"/>
      <c r="F58" s="786"/>
      <c r="G58" s="1011"/>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5"/>
      <c r="BR58" s="205"/>
    </row>
    <row r="59" spans="1:70" s="203" customFormat="1" hidden="1" x14ac:dyDescent="0.3">
      <c r="A59" s="788" t="s">
        <v>110</v>
      </c>
      <c r="B59" s="786"/>
      <c r="C59" s="786"/>
      <c r="D59" s="786"/>
      <c r="E59" s="786"/>
      <c r="F59" s="786"/>
      <c r="G59" s="1011"/>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5"/>
      <c r="BR59" s="205"/>
    </row>
    <row r="60" spans="1:70" s="203" customFormat="1" hidden="1" x14ac:dyDescent="0.3">
      <c r="A60" s="789" t="s">
        <v>79</v>
      </c>
      <c r="B60" s="790">
        <f>C35</f>
        <v>0</v>
      </c>
      <c r="C60" s="786"/>
      <c r="D60" s="786"/>
      <c r="E60" s="786"/>
      <c r="F60" s="786"/>
      <c r="G60" s="1011"/>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5"/>
      <c r="BR60" s="205"/>
    </row>
    <row r="61" spans="1:70" s="203" customFormat="1" hidden="1" x14ac:dyDescent="0.3">
      <c r="A61" s="789" t="s">
        <v>78</v>
      </c>
      <c r="B61" s="790">
        <f>C36</f>
        <v>0</v>
      </c>
      <c r="C61" s="786"/>
      <c r="D61" s="786"/>
      <c r="E61" s="786"/>
      <c r="F61" s="786"/>
      <c r="G61" s="1011"/>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5"/>
    </row>
    <row r="62" spans="1:70" s="203" customFormat="1" hidden="1" x14ac:dyDescent="0.3">
      <c r="A62" s="786" t="s">
        <v>4</v>
      </c>
      <c r="B62" s="790">
        <f>SUM(B60:B61)</f>
        <v>0</v>
      </c>
      <c r="C62" s="786"/>
      <c r="D62" s="786"/>
      <c r="E62" s="786"/>
      <c r="F62" s="786"/>
      <c r="G62" s="1011"/>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row>
    <row r="63" spans="1:70" s="203" customFormat="1" hidden="1" x14ac:dyDescent="0.3">
      <c r="A63" s="786"/>
      <c r="B63" s="786"/>
      <c r="C63" s="786"/>
      <c r="D63" s="786"/>
      <c r="E63" s="786"/>
      <c r="F63" s="786"/>
      <c r="G63" s="1011"/>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c r="BR63" s="205"/>
    </row>
    <row r="64" spans="1:70" s="203" customFormat="1" hidden="1" x14ac:dyDescent="0.3">
      <c r="A64" s="786" t="s">
        <v>89</v>
      </c>
      <c r="B64" s="790">
        <f>B7*C26/12</f>
        <v>0</v>
      </c>
      <c r="C64" s="786"/>
      <c r="D64" s="786"/>
      <c r="E64" s="786"/>
      <c r="F64" s="786"/>
      <c r="G64" s="1011"/>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5"/>
      <c r="BR64" s="205"/>
    </row>
    <row r="65" spans="1:70" s="203" customFormat="1" hidden="1" x14ac:dyDescent="0.3">
      <c r="A65" s="786"/>
      <c r="B65" s="786"/>
      <c r="C65" s="786"/>
      <c r="D65" s="786"/>
      <c r="E65" s="786"/>
      <c r="F65" s="786"/>
      <c r="G65" s="1011"/>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5"/>
      <c r="BR65" s="205"/>
    </row>
    <row r="66" spans="1:70" s="203" customFormat="1" hidden="1" x14ac:dyDescent="0.3">
      <c r="A66" s="786" t="s">
        <v>90</v>
      </c>
      <c r="B66" s="790">
        <f>B64-B62</f>
        <v>0</v>
      </c>
      <c r="C66" s="786"/>
      <c r="D66" s="786"/>
      <c r="E66" s="786"/>
      <c r="F66" s="786"/>
      <c r="G66" s="1011"/>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5"/>
      <c r="BQ66" s="205"/>
      <c r="BR66" s="205"/>
    </row>
    <row r="67" spans="1:70" s="203" customFormat="1" x14ac:dyDescent="0.3">
      <c r="A67" s="791"/>
      <c r="B67" s="791"/>
      <c r="C67" s="791"/>
      <c r="D67" s="791"/>
      <c r="E67" s="791"/>
      <c r="F67" s="791"/>
      <c r="G67" s="791"/>
      <c r="I67" s="28"/>
      <c r="J67" s="29"/>
      <c r="K67" s="29"/>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05"/>
      <c r="BC67" s="205"/>
      <c r="BD67" s="205"/>
      <c r="BE67" s="205"/>
      <c r="BF67" s="205"/>
      <c r="BG67" s="205"/>
      <c r="BH67" s="205"/>
      <c r="BI67" s="205"/>
      <c r="BJ67" s="205"/>
      <c r="BK67" s="205"/>
      <c r="BL67" s="205"/>
      <c r="BM67" s="205"/>
      <c r="BN67" s="205"/>
      <c r="BO67" s="205"/>
      <c r="BP67" s="205"/>
      <c r="BQ67" s="205"/>
      <c r="BR67" s="205"/>
    </row>
    <row r="68" spans="1:70" s="203" customFormat="1" x14ac:dyDescent="0.3">
      <c r="A68" s="791"/>
      <c r="B68" s="791"/>
      <c r="C68" s="791"/>
      <c r="D68" s="791"/>
      <c r="E68" s="791"/>
      <c r="F68" s="791"/>
      <c r="G68" s="791"/>
      <c r="I68" s="28"/>
      <c r="J68" s="29"/>
      <c r="K68" s="29"/>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05"/>
      <c r="BC68" s="205"/>
      <c r="BD68" s="205"/>
      <c r="BE68" s="205"/>
      <c r="BF68" s="205"/>
      <c r="BG68" s="205"/>
      <c r="BH68" s="205"/>
      <c r="BI68" s="205"/>
      <c r="BJ68" s="205"/>
      <c r="BK68" s="205"/>
      <c r="BL68" s="205"/>
      <c r="BM68" s="205"/>
      <c r="BN68" s="205"/>
      <c r="BO68" s="205"/>
      <c r="BP68" s="205"/>
      <c r="BQ68" s="205"/>
      <c r="BR68" s="205"/>
    </row>
    <row r="69" spans="1:70" s="203" customFormat="1" x14ac:dyDescent="0.3">
      <c r="A69" s="1540" t="s">
        <v>118</v>
      </c>
      <c r="B69" s="1540"/>
      <c r="C69" s="1540"/>
      <c r="D69" s="1540"/>
      <c r="E69" s="1540"/>
      <c r="F69" s="1540"/>
      <c r="G69" s="1011"/>
      <c r="H69" s="26"/>
      <c r="I69" s="26"/>
      <c r="R69" s="20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c r="AY69" s="205"/>
      <c r="AZ69" s="205"/>
      <c r="BA69" s="205"/>
      <c r="BB69" s="205"/>
      <c r="BC69" s="205"/>
      <c r="BD69" s="205"/>
      <c r="BE69" s="205"/>
      <c r="BF69" s="205"/>
      <c r="BG69" s="205"/>
      <c r="BH69" s="205"/>
      <c r="BI69" s="205"/>
      <c r="BJ69" s="205"/>
      <c r="BK69" s="205"/>
      <c r="BL69" s="205"/>
      <c r="BM69" s="205"/>
      <c r="BN69" s="205"/>
      <c r="BO69" s="205"/>
      <c r="BP69" s="205"/>
      <c r="BQ69" s="205"/>
      <c r="BR69" s="205"/>
    </row>
    <row r="70" spans="1:70" s="203" customFormat="1" x14ac:dyDescent="0.3">
      <c r="A70" s="597" t="s">
        <v>109</v>
      </c>
      <c r="B70" s="784"/>
      <c r="C70" s="771"/>
      <c r="D70" s="772"/>
      <c r="E70" s="772"/>
      <c r="F70" s="772"/>
      <c r="G70" s="1011"/>
      <c r="H70" s="26"/>
      <c r="I70" s="26"/>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c r="AY70" s="205"/>
      <c r="AZ70" s="205"/>
      <c r="BA70" s="205"/>
      <c r="BB70" s="205"/>
      <c r="BC70" s="205"/>
      <c r="BD70" s="205"/>
      <c r="BE70" s="205"/>
      <c r="BF70" s="205"/>
      <c r="BG70" s="205"/>
      <c r="BH70" s="205"/>
      <c r="BI70" s="205"/>
      <c r="BJ70" s="205"/>
      <c r="BK70" s="205"/>
      <c r="BL70" s="205"/>
      <c r="BM70" s="205"/>
      <c r="BN70" s="205"/>
      <c r="BO70" s="205"/>
      <c r="BP70" s="205"/>
      <c r="BQ70" s="205"/>
      <c r="BR70" s="205"/>
    </row>
    <row r="71" spans="1:70" s="203" customFormat="1" x14ac:dyDescent="0.3">
      <c r="A71" s="593" t="s">
        <v>629</v>
      </c>
      <c r="B71" s="998"/>
      <c r="C71" s="1452">
        <v>0</v>
      </c>
      <c r="D71" s="774"/>
      <c r="E71" s="774"/>
      <c r="F71" s="774"/>
      <c r="G71" s="1011"/>
      <c r="H71" s="30"/>
      <c r="I71" s="30"/>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05"/>
      <c r="BC71" s="205"/>
      <c r="BD71" s="205"/>
      <c r="BE71" s="205"/>
      <c r="BF71" s="205"/>
      <c r="BG71" s="205"/>
      <c r="BH71" s="205"/>
      <c r="BI71" s="205"/>
      <c r="BJ71" s="205"/>
      <c r="BK71" s="205"/>
      <c r="BL71" s="205"/>
      <c r="BM71" s="205"/>
      <c r="BN71" s="205"/>
      <c r="BO71" s="205"/>
      <c r="BP71" s="205"/>
      <c r="BQ71" s="205"/>
      <c r="BR71" s="205"/>
    </row>
    <row r="72" spans="1:70" s="207" customFormat="1" x14ac:dyDescent="0.3">
      <c r="A72" s="592"/>
      <c r="B72" s="999"/>
      <c r="C72" s="592"/>
      <c r="D72" s="774"/>
      <c r="E72" s="774"/>
      <c r="F72" s="774"/>
      <c r="G72" s="1011"/>
      <c r="H72" s="35"/>
      <c r="I72" s="35"/>
      <c r="J72" s="206"/>
      <c r="K72" s="206"/>
      <c r="L72" s="206"/>
      <c r="M72" s="206"/>
      <c r="N72" s="206"/>
      <c r="O72" s="206"/>
      <c r="P72" s="206"/>
      <c r="Q72" s="206"/>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5"/>
      <c r="BQ72" s="205"/>
      <c r="BR72" s="205"/>
    </row>
    <row r="73" spans="1:70" s="203" customFormat="1" ht="15" thickBot="1" x14ac:dyDescent="0.35">
      <c r="A73" s="593" t="s">
        <v>239</v>
      </c>
      <c r="B73" s="998"/>
      <c r="C73" s="809">
        <f>B114</f>
        <v>0</v>
      </c>
      <c r="D73" s="775"/>
      <c r="E73" s="775"/>
      <c r="F73" s="775"/>
      <c r="G73" s="1011"/>
      <c r="I73" s="28"/>
      <c r="J73" s="29"/>
      <c r="K73" s="29"/>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c r="BB73" s="205"/>
      <c r="BC73" s="205"/>
      <c r="BD73" s="205"/>
      <c r="BE73" s="205"/>
      <c r="BF73" s="205"/>
      <c r="BG73" s="205"/>
      <c r="BH73" s="205"/>
      <c r="BI73" s="205"/>
      <c r="BJ73" s="205"/>
      <c r="BK73" s="205"/>
      <c r="BL73" s="205"/>
      <c r="BM73" s="205"/>
      <c r="BN73" s="205"/>
      <c r="BO73" s="205"/>
      <c r="BP73" s="205"/>
      <c r="BQ73" s="205"/>
      <c r="BR73" s="205"/>
    </row>
    <row r="74" spans="1:70" s="203" customFormat="1" ht="15.6" thickTop="1" thickBot="1" x14ac:dyDescent="0.35">
      <c r="A74" s="593" t="s">
        <v>242</v>
      </c>
      <c r="B74" s="998"/>
      <c r="C74" s="599" t="s">
        <v>59</v>
      </c>
      <c r="D74" s="998"/>
      <c r="E74" s="775"/>
      <c r="F74" s="775"/>
      <c r="G74" s="1011"/>
      <c r="I74" s="28"/>
      <c r="J74" s="29"/>
      <c r="K74" s="29"/>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05"/>
      <c r="BC74" s="205"/>
      <c r="BD74" s="205"/>
      <c r="BE74" s="205"/>
      <c r="BF74" s="205"/>
      <c r="BG74" s="205"/>
      <c r="BH74" s="205"/>
      <c r="BI74" s="205"/>
      <c r="BJ74" s="205"/>
      <c r="BK74" s="205"/>
      <c r="BL74" s="205"/>
      <c r="BM74" s="205"/>
      <c r="BN74" s="205"/>
      <c r="BO74" s="205"/>
      <c r="BP74" s="205"/>
      <c r="BQ74" s="205"/>
      <c r="BR74" s="205"/>
    </row>
    <row r="75" spans="1:70" s="203" customFormat="1" ht="15" thickTop="1" x14ac:dyDescent="0.3">
      <c r="A75" s="593" t="s">
        <v>247</v>
      </c>
      <c r="B75" s="998"/>
      <c r="C75" s="998"/>
      <c r="D75" s="1005"/>
      <c r="E75" s="775"/>
      <c r="F75" s="775"/>
      <c r="G75" s="1011"/>
      <c r="I75" s="28"/>
      <c r="J75" s="29"/>
      <c r="K75" s="29"/>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05"/>
      <c r="BC75" s="205"/>
      <c r="BD75" s="205"/>
      <c r="BE75" s="205"/>
      <c r="BF75" s="205"/>
      <c r="BG75" s="205"/>
      <c r="BH75" s="205"/>
      <c r="BI75" s="205"/>
      <c r="BJ75" s="205"/>
      <c r="BK75" s="205"/>
      <c r="BL75" s="205"/>
      <c r="BM75" s="205"/>
      <c r="BN75" s="205"/>
      <c r="BO75" s="205"/>
      <c r="BP75" s="205"/>
      <c r="BQ75" s="205"/>
      <c r="BR75" s="205"/>
    </row>
    <row r="76" spans="1:70" s="203" customFormat="1" x14ac:dyDescent="0.3">
      <c r="A76" s="593" t="s">
        <v>248</v>
      </c>
      <c r="B76" s="998"/>
      <c r="C76" s="998"/>
      <c r="D76" s="1005"/>
      <c r="E76" s="775"/>
      <c r="F76" s="775"/>
      <c r="G76" s="1011"/>
      <c r="I76" s="28"/>
      <c r="J76" s="29"/>
      <c r="K76" s="29"/>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05"/>
      <c r="BC76" s="205"/>
      <c r="BD76" s="205"/>
      <c r="BE76" s="205"/>
      <c r="BF76" s="205"/>
      <c r="BG76" s="205"/>
      <c r="BH76" s="205"/>
      <c r="BI76" s="205"/>
      <c r="BJ76" s="205"/>
      <c r="BK76" s="205"/>
      <c r="BL76" s="205"/>
      <c r="BM76" s="205"/>
      <c r="BN76" s="205"/>
      <c r="BO76" s="205"/>
      <c r="BP76" s="205"/>
      <c r="BQ76" s="205"/>
      <c r="BR76" s="205"/>
    </row>
    <row r="77" spans="1:70" s="203" customFormat="1" x14ac:dyDescent="0.3">
      <c r="A77" s="593" t="s">
        <v>243</v>
      </c>
      <c r="B77" s="998"/>
      <c r="C77" s="600">
        <v>0</v>
      </c>
      <c r="D77" s="774"/>
      <c r="E77" s="774"/>
      <c r="F77" s="774"/>
      <c r="G77" s="1011"/>
      <c r="I77" s="26"/>
      <c r="R77" s="205"/>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5"/>
      <c r="BJ77" s="205"/>
      <c r="BK77" s="205"/>
      <c r="BL77" s="205"/>
      <c r="BM77" s="205"/>
      <c r="BN77" s="205"/>
      <c r="BO77" s="205"/>
      <c r="BP77" s="205"/>
      <c r="BQ77" s="205"/>
      <c r="BR77" s="205"/>
    </row>
    <row r="78" spans="1:70" s="203" customFormat="1" x14ac:dyDescent="0.3">
      <c r="A78" s="593"/>
      <c r="B78" s="1000"/>
      <c r="C78" s="592"/>
      <c r="D78" s="774"/>
      <c r="E78" s="774"/>
      <c r="F78" s="774"/>
      <c r="G78" s="1011"/>
      <c r="I78" s="26"/>
      <c r="R78" s="205"/>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05"/>
      <c r="BC78" s="205"/>
      <c r="BD78" s="205"/>
      <c r="BE78" s="205"/>
      <c r="BF78" s="205"/>
      <c r="BG78" s="205"/>
      <c r="BH78" s="205"/>
      <c r="BI78" s="205"/>
      <c r="BJ78" s="205"/>
      <c r="BK78" s="205"/>
      <c r="BL78" s="205"/>
      <c r="BM78" s="205"/>
      <c r="BN78" s="205"/>
      <c r="BO78" s="205"/>
      <c r="BP78" s="205"/>
      <c r="BQ78" s="205"/>
      <c r="BR78" s="205"/>
    </row>
    <row r="79" spans="1:70" s="206" customFormat="1" ht="15" customHeight="1" x14ac:dyDescent="0.3">
      <c r="A79" s="1003" t="s">
        <v>240</v>
      </c>
      <c r="B79" s="1001"/>
      <c r="C79" s="1001"/>
      <c r="D79" s="1001"/>
      <c r="E79" s="1001"/>
      <c r="F79" s="1001"/>
      <c r="G79" s="1011"/>
    </row>
    <row r="80" spans="1:70" s="206" customFormat="1" x14ac:dyDescent="0.3">
      <c r="A80" s="1004" t="s">
        <v>91</v>
      </c>
      <c r="B80" s="596"/>
      <c r="C80" s="1007">
        <f>$B$4*C71/12</f>
        <v>0</v>
      </c>
      <c r="D80" s="596"/>
      <c r="E80" s="596"/>
      <c r="F80" s="596"/>
      <c r="G80" s="1011"/>
      <c r="H80" s="32"/>
    </row>
    <row r="81" spans="1:70" s="206" customFormat="1" x14ac:dyDescent="0.3">
      <c r="A81" s="596" t="s">
        <v>92</v>
      </c>
      <c r="B81" s="596"/>
      <c r="C81" s="1007">
        <f>$B$5*C71/12</f>
        <v>0</v>
      </c>
      <c r="D81" s="1006"/>
      <c r="E81" s="596"/>
      <c r="F81" s="596"/>
      <c r="G81" s="1011"/>
      <c r="H81" s="33"/>
    </row>
    <row r="82" spans="1:70" s="206" customFormat="1" x14ac:dyDescent="0.3">
      <c r="A82" s="596" t="s">
        <v>107</v>
      </c>
      <c r="B82" s="596"/>
      <c r="C82" s="1008">
        <f>IF(C74="Yes", B114, C77)</f>
        <v>0</v>
      </c>
      <c r="D82" s="596"/>
      <c r="E82" s="596"/>
      <c r="F82" s="596"/>
      <c r="G82" s="1011"/>
      <c r="H82" s="31"/>
    </row>
    <row r="83" spans="1:70" s="206" customFormat="1" x14ac:dyDescent="0.3">
      <c r="A83" s="596" t="s">
        <v>95</v>
      </c>
      <c r="B83" s="596"/>
      <c r="C83" s="1007">
        <f>SUM(C80:C82)</f>
        <v>0</v>
      </c>
      <c r="D83" s="596"/>
      <c r="E83" s="596"/>
      <c r="F83" s="596"/>
      <c r="G83" s="1011"/>
      <c r="H83" s="203"/>
    </row>
    <row r="84" spans="1:70" s="206" customFormat="1" x14ac:dyDescent="0.3">
      <c r="A84" s="596"/>
      <c r="B84" s="1002"/>
      <c r="C84" s="596"/>
      <c r="D84" s="596"/>
      <c r="E84" s="596"/>
      <c r="F84" s="596"/>
      <c r="G84" s="1011"/>
      <c r="H84" s="203"/>
    </row>
    <row r="85" spans="1:70" s="203" customFormat="1" x14ac:dyDescent="0.3">
      <c r="A85" s="597" t="s">
        <v>110</v>
      </c>
      <c r="B85" s="784"/>
      <c r="C85" s="771"/>
      <c r="D85" s="772"/>
      <c r="E85" s="772"/>
      <c r="F85" s="772"/>
      <c r="G85" s="1011"/>
      <c r="H85" s="26"/>
      <c r="I85" s="26"/>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05"/>
      <c r="AQ85" s="205"/>
      <c r="AR85" s="205"/>
      <c r="AS85" s="205"/>
      <c r="AT85" s="205"/>
      <c r="AU85" s="205"/>
      <c r="AV85" s="205"/>
      <c r="AW85" s="205"/>
      <c r="AX85" s="205"/>
      <c r="AY85" s="205"/>
      <c r="AZ85" s="205"/>
      <c r="BA85" s="205"/>
      <c r="BB85" s="205"/>
      <c r="BC85" s="205"/>
      <c r="BD85" s="205"/>
      <c r="BE85" s="205"/>
      <c r="BF85" s="205"/>
      <c r="BG85" s="205"/>
      <c r="BH85" s="205"/>
      <c r="BI85" s="205"/>
      <c r="BJ85" s="205"/>
      <c r="BK85" s="205"/>
      <c r="BL85" s="205"/>
      <c r="BM85" s="205"/>
      <c r="BN85" s="205"/>
      <c r="BO85" s="205"/>
      <c r="BP85" s="205"/>
      <c r="BQ85" s="205"/>
      <c r="BR85" s="205"/>
    </row>
    <row r="86" spans="1:70" s="203" customFormat="1" x14ac:dyDescent="0.3">
      <c r="A86" s="593" t="s">
        <v>631</v>
      </c>
      <c r="B86" s="998"/>
      <c r="C86" s="1452">
        <v>0</v>
      </c>
      <c r="D86" s="774"/>
      <c r="E86" s="774"/>
      <c r="F86" s="774"/>
      <c r="G86" s="1011"/>
      <c r="H86" s="30"/>
      <c r="I86" s="30"/>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5"/>
      <c r="AX86" s="205"/>
      <c r="AY86" s="205"/>
      <c r="AZ86" s="205"/>
      <c r="BA86" s="205"/>
      <c r="BB86" s="205"/>
      <c r="BC86" s="205"/>
      <c r="BD86" s="205"/>
      <c r="BE86" s="205"/>
      <c r="BF86" s="205"/>
      <c r="BG86" s="205"/>
      <c r="BH86" s="205"/>
      <c r="BI86" s="205"/>
      <c r="BJ86" s="205"/>
      <c r="BK86" s="205"/>
      <c r="BL86" s="205"/>
      <c r="BM86" s="205"/>
      <c r="BN86" s="205"/>
      <c r="BO86" s="205"/>
      <c r="BP86" s="205"/>
      <c r="BQ86" s="205"/>
      <c r="BR86" s="205"/>
    </row>
    <row r="87" spans="1:70" s="207" customFormat="1" x14ac:dyDescent="0.3">
      <c r="A87" s="592"/>
      <c r="B87" s="999"/>
      <c r="C87" s="592"/>
      <c r="D87" s="774"/>
      <c r="E87" s="774"/>
      <c r="F87" s="774"/>
      <c r="G87" s="1011"/>
      <c r="H87" s="35"/>
      <c r="I87" s="35"/>
      <c r="J87" s="206"/>
      <c r="K87" s="206"/>
      <c r="L87" s="206"/>
      <c r="M87" s="206"/>
      <c r="N87" s="206"/>
      <c r="O87" s="206"/>
      <c r="P87" s="206"/>
      <c r="Q87" s="206"/>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5"/>
      <c r="AX87" s="205"/>
      <c r="AY87" s="205"/>
      <c r="AZ87" s="205"/>
      <c r="BA87" s="205"/>
      <c r="BB87" s="205"/>
      <c r="BC87" s="205"/>
      <c r="BD87" s="205"/>
      <c r="BE87" s="205"/>
      <c r="BF87" s="205"/>
      <c r="BG87" s="205"/>
      <c r="BH87" s="205"/>
      <c r="BI87" s="205"/>
      <c r="BJ87" s="205"/>
      <c r="BK87" s="205"/>
      <c r="BL87" s="205"/>
      <c r="BM87" s="205"/>
      <c r="BN87" s="205"/>
      <c r="BO87" s="205"/>
      <c r="BP87" s="205"/>
      <c r="BQ87" s="205"/>
      <c r="BR87" s="205"/>
    </row>
    <row r="88" spans="1:70" s="203" customFormat="1" ht="15" thickBot="1" x14ac:dyDescent="0.35">
      <c r="A88" s="593" t="s">
        <v>239</v>
      </c>
      <c r="B88" s="998"/>
      <c r="C88" s="809">
        <f>B123</f>
        <v>0</v>
      </c>
      <c r="D88" s="775"/>
      <c r="E88" s="775"/>
      <c r="F88" s="775"/>
      <c r="G88" s="1011"/>
      <c r="I88" s="28"/>
      <c r="J88" s="29"/>
      <c r="K88" s="29"/>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5"/>
      <c r="AX88" s="205"/>
      <c r="AY88" s="205"/>
      <c r="AZ88" s="205"/>
      <c r="BA88" s="205"/>
      <c r="BB88" s="205"/>
      <c r="BC88" s="205"/>
      <c r="BD88" s="205"/>
      <c r="BE88" s="205"/>
      <c r="BF88" s="205"/>
      <c r="BG88" s="205"/>
      <c r="BH88" s="205"/>
      <c r="BI88" s="205"/>
      <c r="BJ88" s="205"/>
      <c r="BK88" s="205"/>
      <c r="BL88" s="205"/>
      <c r="BM88" s="205"/>
      <c r="BN88" s="205"/>
      <c r="BO88" s="205"/>
      <c r="BP88" s="205"/>
      <c r="BQ88" s="205"/>
      <c r="BR88" s="205"/>
    </row>
    <row r="89" spans="1:70" s="203" customFormat="1" ht="15.6" thickTop="1" thickBot="1" x14ac:dyDescent="0.35">
      <c r="A89" s="593" t="s">
        <v>244</v>
      </c>
      <c r="B89" s="998"/>
      <c r="C89" s="599" t="s">
        <v>59</v>
      </c>
      <c r="D89" s="775"/>
      <c r="E89" s="775"/>
      <c r="F89" s="775"/>
      <c r="G89" s="1011"/>
      <c r="I89" s="28"/>
      <c r="J89" s="29"/>
      <c r="K89" s="29"/>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05"/>
      <c r="BC89" s="205"/>
      <c r="BD89" s="205"/>
      <c r="BE89" s="205"/>
      <c r="BF89" s="205"/>
      <c r="BG89" s="205"/>
      <c r="BH89" s="205"/>
      <c r="BI89" s="205"/>
      <c r="BJ89" s="205"/>
      <c r="BK89" s="205"/>
      <c r="BL89" s="205"/>
      <c r="BM89" s="205"/>
      <c r="BN89" s="205"/>
      <c r="BO89" s="205"/>
      <c r="BP89" s="205"/>
      <c r="BQ89" s="205"/>
      <c r="BR89" s="205"/>
    </row>
    <row r="90" spans="1:70" s="203" customFormat="1" ht="15" thickTop="1" x14ac:dyDescent="0.3">
      <c r="A90" s="593" t="s">
        <v>247</v>
      </c>
      <c r="B90" s="998"/>
      <c r="C90" s="998"/>
      <c r="D90" s="1005"/>
      <c r="E90" s="775"/>
      <c r="F90" s="775"/>
      <c r="G90" s="1011"/>
      <c r="I90" s="28"/>
      <c r="J90" s="29"/>
      <c r="K90" s="29"/>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05"/>
      <c r="BC90" s="205"/>
      <c r="BD90" s="205"/>
      <c r="BE90" s="205"/>
      <c r="BF90" s="205"/>
      <c r="BG90" s="205"/>
      <c r="BH90" s="205"/>
      <c r="BI90" s="205"/>
      <c r="BJ90" s="205"/>
      <c r="BK90" s="205"/>
      <c r="BL90" s="205"/>
      <c r="BM90" s="205"/>
      <c r="BN90" s="205"/>
      <c r="BO90" s="205"/>
      <c r="BP90" s="205"/>
      <c r="BQ90" s="205"/>
      <c r="BR90" s="205"/>
    </row>
    <row r="91" spans="1:70" s="203" customFormat="1" x14ac:dyDescent="0.3">
      <c r="A91" s="593" t="s">
        <v>248</v>
      </c>
      <c r="B91" s="998"/>
      <c r="C91" s="998"/>
      <c r="D91" s="1005"/>
      <c r="E91" s="775"/>
      <c r="F91" s="775"/>
      <c r="G91" s="1011"/>
      <c r="I91" s="28"/>
      <c r="J91" s="29"/>
      <c r="K91" s="29"/>
      <c r="R91" s="205"/>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205"/>
      <c r="BA91" s="205"/>
      <c r="BB91" s="205"/>
      <c r="BC91" s="205"/>
      <c r="BD91" s="205"/>
      <c r="BE91" s="205"/>
      <c r="BF91" s="205"/>
      <c r="BG91" s="205"/>
      <c r="BH91" s="205"/>
      <c r="BI91" s="205"/>
      <c r="BJ91" s="205"/>
      <c r="BK91" s="205"/>
      <c r="BL91" s="205"/>
      <c r="BM91" s="205"/>
      <c r="BN91" s="205"/>
      <c r="BO91" s="205"/>
      <c r="BP91" s="205"/>
      <c r="BQ91" s="205"/>
      <c r="BR91" s="205"/>
    </row>
    <row r="92" spans="1:70" s="203" customFormat="1" x14ac:dyDescent="0.3">
      <c r="A92" s="593" t="s">
        <v>259</v>
      </c>
      <c r="B92" s="998"/>
      <c r="C92" s="600">
        <v>0</v>
      </c>
      <c r="D92" s="774"/>
      <c r="E92" s="774"/>
      <c r="F92" s="774"/>
      <c r="G92" s="1011"/>
      <c r="I92" s="26"/>
      <c r="R92" s="205"/>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5"/>
      <c r="BB92" s="205"/>
      <c r="BC92" s="205"/>
      <c r="BD92" s="205"/>
      <c r="BE92" s="205"/>
      <c r="BF92" s="205"/>
      <c r="BG92" s="205"/>
      <c r="BH92" s="205"/>
      <c r="BI92" s="205"/>
      <c r="BJ92" s="205"/>
      <c r="BK92" s="205"/>
      <c r="BL92" s="205"/>
      <c r="BM92" s="205"/>
      <c r="BN92" s="205"/>
      <c r="BO92" s="205"/>
      <c r="BP92" s="205"/>
      <c r="BQ92" s="205"/>
      <c r="BR92" s="205"/>
    </row>
    <row r="93" spans="1:70" s="203" customFormat="1" x14ac:dyDescent="0.3">
      <c r="A93" s="593"/>
      <c r="B93" s="998"/>
      <c r="C93" s="1000"/>
      <c r="D93" s="774"/>
      <c r="E93" s="774"/>
      <c r="F93" s="774"/>
      <c r="G93" s="1011"/>
      <c r="I93" s="26"/>
      <c r="R93" s="205"/>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05"/>
      <c r="BC93" s="205"/>
      <c r="BD93" s="205"/>
      <c r="BE93" s="205"/>
      <c r="BF93" s="205"/>
      <c r="BG93" s="205"/>
      <c r="BH93" s="205"/>
      <c r="BI93" s="205"/>
      <c r="BJ93" s="205"/>
      <c r="BK93" s="205"/>
      <c r="BL93" s="205"/>
      <c r="BM93" s="205"/>
      <c r="BN93" s="205"/>
      <c r="BO93" s="205"/>
      <c r="BP93" s="205"/>
      <c r="BQ93" s="205"/>
      <c r="BR93" s="205"/>
    </row>
    <row r="94" spans="1:70" s="206" customFormat="1" ht="15" customHeight="1" x14ac:dyDescent="0.3">
      <c r="A94" s="1003" t="s">
        <v>245</v>
      </c>
      <c r="B94" s="1001"/>
      <c r="C94" s="1001"/>
      <c r="D94" s="1001"/>
      <c r="E94" s="1001"/>
      <c r="F94" s="1001"/>
      <c r="G94" s="1011"/>
    </row>
    <row r="95" spans="1:70" s="206" customFormat="1" x14ac:dyDescent="0.3">
      <c r="A95" s="1004" t="s">
        <v>91</v>
      </c>
      <c r="B95" s="596"/>
      <c r="C95" s="1007">
        <f>$B$4*C86/12</f>
        <v>0</v>
      </c>
      <c r="D95" s="596"/>
      <c r="E95" s="596"/>
      <c r="F95" s="596"/>
      <c r="G95" s="1011"/>
      <c r="H95" s="32"/>
    </row>
    <row r="96" spans="1:70" s="206" customFormat="1" x14ac:dyDescent="0.3">
      <c r="A96" s="596" t="s">
        <v>92</v>
      </c>
      <c r="B96" s="596"/>
      <c r="C96" s="1007">
        <f>$B$5*C86/12</f>
        <v>0</v>
      </c>
      <c r="D96" s="1006"/>
      <c r="E96" s="596"/>
      <c r="F96" s="596"/>
      <c r="G96" s="1011"/>
      <c r="H96" s="33"/>
    </row>
    <row r="97" spans="1:70" s="206" customFormat="1" x14ac:dyDescent="0.3">
      <c r="A97" s="596" t="s">
        <v>107</v>
      </c>
      <c r="B97" s="596"/>
      <c r="C97" s="1008">
        <f>IF(C89="Yes", B123, C92)</f>
        <v>0</v>
      </c>
      <c r="D97" s="596"/>
      <c r="E97" s="596"/>
      <c r="F97" s="596"/>
      <c r="G97" s="1011"/>
      <c r="H97" s="31"/>
    </row>
    <row r="98" spans="1:70" s="206" customFormat="1" x14ac:dyDescent="0.3">
      <c r="A98" s="596" t="s">
        <v>95</v>
      </c>
      <c r="B98" s="596"/>
      <c r="C98" s="1007">
        <f>SUM(C95:C97)</f>
        <v>0</v>
      </c>
      <c r="D98" s="596"/>
      <c r="E98" s="596"/>
      <c r="F98" s="596"/>
      <c r="G98" s="1011"/>
      <c r="H98" s="203"/>
    </row>
    <row r="99" spans="1:70" s="206" customFormat="1" x14ac:dyDescent="0.3">
      <c r="A99" s="596"/>
      <c r="B99" s="596"/>
      <c r="C99" s="1002"/>
      <c r="D99" s="596"/>
      <c r="E99" s="596"/>
      <c r="F99" s="596"/>
      <c r="G99" s="1011"/>
      <c r="H99" s="203"/>
    </row>
    <row r="100" spans="1:70" s="203" customFormat="1" x14ac:dyDescent="0.3">
      <c r="A100" s="1538" t="s">
        <v>249</v>
      </c>
      <c r="B100" s="1538"/>
      <c r="C100" s="1538"/>
      <c r="D100" s="1538"/>
      <c r="E100" s="1538"/>
      <c r="F100" s="1538"/>
      <c r="G100" s="1011"/>
      <c r="I100" s="26"/>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05"/>
      <c r="BC100" s="205"/>
      <c r="BD100" s="205"/>
      <c r="BE100" s="205"/>
      <c r="BF100" s="205"/>
      <c r="BG100" s="205"/>
      <c r="BH100" s="205"/>
      <c r="BI100" s="205"/>
      <c r="BJ100" s="205"/>
      <c r="BK100" s="205"/>
      <c r="BL100" s="205"/>
      <c r="BM100" s="205"/>
      <c r="BN100" s="205"/>
      <c r="BO100" s="205"/>
      <c r="BP100" s="205"/>
      <c r="BQ100" s="205"/>
      <c r="BR100" s="205"/>
    </row>
    <row r="101" spans="1:70" s="206" customFormat="1" x14ac:dyDescent="0.3">
      <c r="A101" s="1009" t="s">
        <v>91</v>
      </c>
      <c r="B101" s="596"/>
      <c r="C101" s="1010">
        <f>C80+C95</f>
        <v>0</v>
      </c>
      <c r="D101" s="1011"/>
      <c r="E101" s="1011"/>
      <c r="F101" s="1011"/>
      <c r="G101" s="1011"/>
      <c r="H101" s="32"/>
    </row>
    <row r="102" spans="1:70" s="206" customFormat="1" x14ac:dyDescent="0.3">
      <c r="A102" s="1011" t="s">
        <v>92</v>
      </c>
      <c r="B102" s="596"/>
      <c r="C102" s="1010">
        <f>C81+C96</f>
        <v>0</v>
      </c>
      <c r="D102" s="1012"/>
      <c r="E102" s="1011"/>
      <c r="F102" s="1011"/>
      <c r="G102" s="1011"/>
      <c r="H102" s="33"/>
    </row>
    <row r="103" spans="1:70" s="206" customFormat="1" x14ac:dyDescent="0.3">
      <c r="A103" s="1011" t="s">
        <v>107</v>
      </c>
      <c r="B103" s="596"/>
      <c r="C103" s="1013">
        <f>C82+C97</f>
        <v>0</v>
      </c>
      <c r="D103" s="1011"/>
      <c r="E103" s="1011"/>
      <c r="F103" s="1011"/>
      <c r="G103" s="1011"/>
      <c r="H103" s="31"/>
    </row>
    <row r="104" spans="1:70" s="206" customFormat="1" x14ac:dyDescent="0.3">
      <c r="A104" s="1011" t="s">
        <v>95</v>
      </c>
      <c r="B104" s="596"/>
      <c r="C104" s="1010">
        <f>SUM(C101:C103)</f>
        <v>0</v>
      </c>
      <c r="D104" s="1011"/>
      <c r="E104" s="1011"/>
      <c r="F104" s="1011"/>
      <c r="G104" s="1011"/>
      <c r="H104" s="203"/>
    </row>
    <row r="105" spans="1:70" s="203" customFormat="1" x14ac:dyDescent="0.3">
      <c r="A105" s="1539" t="s">
        <v>633</v>
      </c>
      <c r="B105" s="1539"/>
      <c r="C105" s="1539"/>
      <c r="D105" s="1539"/>
      <c r="E105" s="1539"/>
      <c r="F105" s="1539"/>
      <c r="G105" s="1011"/>
      <c r="I105" s="28"/>
      <c r="J105" s="29"/>
      <c r="K105" s="29"/>
      <c r="R105" s="205"/>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05"/>
      <c r="BC105" s="205"/>
      <c r="BD105" s="205"/>
      <c r="BE105" s="205"/>
      <c r="BF105" s="205"/>
      <c r="BG105" s="205"/>
      <c r="BH105" s="205"/>
      <c r="BI105" s="205"/>
      <c r="BJ105" s="205"/>
      <c r="BK105" s="205"/>
      <c r="BL105" s="205"/>
      <c r="BM105" s="205"/>
      <c r="BN105" s="205"/>
      <c r="BO105" s="205"/>
      <c r="BP105" s="205"/>
      <c r="BQ105" s="205"/>
      <c r="BR105" s="205"/>
    </row>
    <row r="106" spans="1:70" s="203" customFormat="1" hidden="1" x14ac:dyDescent="0.3">
      <c r="A106" s="788" t="s">
        <v>236</v>
      </c>
      <c r="B106" s="786"/>
      <c r="C106" s="786"/>
      <c r="D106" s="786"/>
      <c r="E106" s="786"/>
      <c r="F106" s="786"/>
      <c r="G106" s="1011"/>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05"/>
      <c r="BC106" s="205"/>
      <c r="BD106" s="205"/>
      <c r="BE106" s="205"/>
      <c r="BF106" s="205"/>
      <c r="BG106" s="205"/>
      <c r="BH106" s="205"/>
      <c r="BI106" s="205"/>
      <c r="BJ106" s="205"/>
      <c r="BK106" s="205"/>
      <c r="BL106" s="205"/>
      <c r="BM106" s="205"/>
      <c r="BN106" s="205"/>
      <c r="BO106" s="205"/>
      <c r="BP106" s="205"/>
      <c r="BQ106" s="205"/>
      <c r="BR106" s="205"/>
    </row>
    <row r="107" spans="1:70" s="203" customFormat="1" hidden="1" x14ac:dyDescent="0.3">
      <c r="A107" s="788" t="s">
        <v>109</v>
      </c>
      <c r="B107" s="786"/>
      <c r="C107" s="786"/>
      <c r="D107" s="786"/>
      <c r="E107" s="786"/>
      <c r="F107" s="786"/>
      <c r="G107" s="1011"/>
      <c r="R107" s="205"/>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05"/>
      <c r="BC107" s="205"/>
      <c r="BD107" s="205"/>
      <c r="BE107" s="205"/>
      <c r="BF107" s="205"/>
      <c r="BG107" s="205"/>
      <c r="BH107" s="205"/>
      <c r="BI107" s="205"/>
      <c r="BJ107" s="205"/>
      <c r="BK107" s="205"/>
      <c r="BL107" s="205"/>
      <c r="BM107" s="205"/>
      <c r="BN107" s="205"/>
      <c r="BO107" s="205"/>
      <c r="BP107" s="205"/>
      <c r="BQ107" s="205"/>
      <c r="BR107" s="205"/>
    </row>
    <row r="108" spans="1:70" s="203" customFormat="1" hidden="1" x14ac:dyDescent="0.3">
      <c r="A108" s="789" t="s">
        <v>79</v>
      </c>
      <c r="B108" s="790">
        <f>C80</f>
        <v>0</v>
      </c>
      <c r="C108" s="786"/>
      <c r="D108" s="786"/>
      <c r="E108" s="786"/>
      <c r="F108" s="786"/>
      <c r="G108" s="1011"/>
      <c r="R108" s="205"/>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05"/>
      <c r="BC108" s="205"/>
      <c r="BD108" s="205"/>
      <c r="BE108" s="205"/>
      <c r="BF108" s="205"/>
      <c r="BG108" s="205"/>
      <c r="BH108" s="205"/>
      <c r="BI108" s="205"/>
      <c r="BJ108" s="205"/>
      <c r="BK108" s="205"/>
      <c r="BL108" s="205"/>
      <c r="BM108" s="205"/>
      <c r="BN108" s="205"/>
      <c r="BO108" s="205"/>
      <c r="BP108" s="205"/>
      <c r="BQ108" s="205"/>
      <c r="BR108" s="205"/>
    </row>
    <row r="109" spans="1:70" s="203" customFormat="1" hidden="1" x14ac:dyDescent="0.3">
      <c r="A109" s="789" t="s">
        <v>78</v>
      </c>
      <c r="B109" s="790">
        <f>C81</f>
        <v>0</v>
      </c>
      <c r="C109" s="786"/>
      <c r="D109" s="786"/>
      <c r="E109" s="786"/>
      <c r="F109" s="786"/>
      <c r="G109" s="1011"/>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05"/>
      <c r="BC109" s="205"/>
      <c r="BD109" s="205"/>
      <c r="BE109" s="205"/>
      <c r="BF109" s="205"/>
      <c r="BG109" s="205"/>
      <c r="BH109" s="205"/>
      <c r="BI109" s="205"/>
      <c r="BJ109" s="205"/>
      <c r="BK109" s="205"/>
      <c r="BL109" s="205"/>
      <c r="BM109" s="205"/>
      <c r="BN109" s="205"/>
      <c r="BO109" s="205"/>
      <c r="BP109" s="205"/>
      <c r="BQ109" s="205"/>
      <c r="BR109" s="205"/>
    </row>
    <row r="110" spans="1:70" s="203" customFormat="1" hidden="1" x14ac:dyDescent="0.3">
      <c r="A110" s="786" t="s">
        <v>4</v>
      </c>
      <c r="B110" s="790">
        <f>SUM(B108:B109)</f>
        <v>0</v>
      </c>
      <c r="C110" s="786"/>
      <c r="D110" s="786"/>
      <c r="E110" s="786"/>
      <c r="F110" s="786"/>
      <c r="G110" s="1011"/>
      <c r="R110" s="205"/>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c r="AU110" s="205"/>
      <c r="AV110" s="205"/>
      <c r="AW110" s="205"/>
      <c r="AX110" s="205"/>
      <c r="AY110" s="205"/>
      <c r="AZ110" s="205"/>
      <c r="BA110" s="205"/>
      <c r="BB110" s="205"/>
      <c r="BC110" s="205"/>
      <c r="BD110" s="205"/>
      <c r="BE110" s="205"/>
      <c r="BF110" s="205"/>
      <c r="BG110" s="205"/>
      <c r="BH110" s="205"/>
      <c r="BI110" s="205"/>
      <c r="BJ110" s="205"/>
      <c r="BK110" s="205"/>
      <c r="BL110" s="205"/>
      <c r="BM110" s="205"/>
      <c r="BN110" s="205"/>
      <c r="BO110" s="205"/>
      <c r="BP110" s="205"/>
      <c r="BQ110" s="205"/>
      <c r="BR110" s="205"/>
    </row>
    <row r="111" spans="1:70" s="203" customFormat="1" hidden="1" x14ac:dyDescent="0.3">
      <c r="A111" s="786"/>
      <c r="B111" s="786"/>
      <c r="C111" s="786"/>
      <c r="D111" s="786"/>
      <c r="E111" s="786"/>
      <c r="F111" s="786"/>
      <c r="G111" s="1011"/>
      <c r="R111" s="205"/>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c r="AU111" s="205"/>
      <c r="AV111" s="205"/>
      <c r="AW111" s="205"/>
      <c r="AX111" s="205"/>
      <c r="AY111" s="205"/>
      <c r="AZ111" s="205"/>
      <c r="BA111" s="205"/>
      <c r="BB111" s="205"/>
      <c r="BC111" s="205"/>
      <c r="BD111" s="205"/>
      <c r="BE111" s="205"/>
      <c r="BF111" s="205"/>
      <c r="BG111" s="205"/>
      <c r="BH111" s="205"/>
      <c r="BI111" s="205"/>
      <c r="BJ111" s="205"/>
      <c r="BK111" s="205"/>
      <c r="BL111" s="205"/>
      <c r="BM111" s="205"/>
      <c r="BN111" s="205"/>
      <c r="BO111" s="205"/>
      <c r="BP111" s="205"/>
      <c r="BQ111" s="205"/>
      <c r="BR111" s="205"/>
    </row>
    <row r="112" spans="1:70" s="203" customFormat="1" hidden="1" x14ac:dyDescent="0.3">
      <c r="A112" s="786" t="s">
        <v>89</v>
      </c>
      <c r="B112" s="790">
        <f>$B$7*C71/12</f>
        <v>0</v>
      </c>
      <c r="C112" s="786"/>
      <c r="D112" s="786"/>
      <c r="E112" s="786"/>
      <c r="F112" s="786"/>
      <c r="G112" s="1011"/>
      <c r="R112" s="205"/>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5"/>
      <c r="AZ112" s="205"/>
      <c r="BA112" s="205"/>
      <c r="BB112" s="205"/>
      <c r="BC112" s="205"/>
      <c r="BD112" s="205"/>
      <c r="BE112" s="205"/>
      <c r="BF112" s="205"/>
      <c r="BG112" s="205"/>
      <c r="BH112" s="205"/>
      <c r="BI112" s="205"/>
      <c r="BJ112" s="205"/>
      <c r="BK112" s="205"/>
      <c r="BL112" s="205"/>
      <c r="BM112" s="205"/>
      <c r="BN112" s="205"/>
      <c r="BO112" s="205"/>
      <c r="BP112" s="205"/>
      <c r="BQ112" s="205"/>
      <c r="BR112" s="205"/>
    </row>
    <row r="113" spans="1:70" s="203" customFormat="1" hidden="1" x14ac:dyDescent="0.3">
      <c r="A113" s="786"/>
      <c r="B113" s="786"/>
      <c r="C113" s="786"/>
      <c r="D113" s="786"/>
      <c r="E113" s="786"/>
      <c r="F113" s="786"/>
      <c r="G113" s="1011"/>
      <c r="R113" s="205"/>
      <c r="S113" s="205"/>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5"/>
      <c r="AU113" s="205"/>
      <c r="AV113" s="205"/>
      <c r="AW113" s="205"/>
      <c r="AX113" s="205"/>
      <c r="AY113" s="205"/>
      <c r="AZ113" s="205"/>
      <c r="BA113" s="205"/>
      <c r="BB113" s="205"/>
      <c r="BC113" s="205"/>
      <c r="BD113" s="205"/>
      <c r="BE113" s="205"/>
      <c r="BF113" s="205"/>
      <c r="BG113" s="205"/>
      <c r="BH113" s="205"/>
      <c r="BI113" s="205"/>
      <c r="BJ113" s="205"/>
      <c r="BK113" s="205"/>
      <c r="BL113" s="205"/>
      <c r="BM113" s="205"/>
      <c r="BN113" s="205"/>
      <c r="BO113" s="205"/>
      <c r="BP113" s="205"/>
      <c r="BQ113" s="205"/>
      <c r="BR113" s="205"/>
    </row>
    <row r="114" spans="1:70" s="203" customFormat="1" hidden="1" x14ac:dyDescent="0.3">
      <c r="A114" s="786" t="s">
        <v>90</v>
      </c>
      <c r="B114" s="790">
        <f>B112-B110</f>
        <v>0</v>
      </c>
      <c r="C114" s="786"/>
      <c r="D114" s="786"/>
      <c r="E114" s="786"/>
      <c r="F114" s="786"/>
      <c r="G114" s="1011"/>
      <c r="R114" s="205"/>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c r="AU114" s="205"/>
      <c r="AV114" s="205"/>
      <c r="AW114" s="205"/>
      <c r="AX114" s="205"/>
      <c r="AY114" s="205"/>
      <c r="AZ114" s="205"/>
      <c r="BA114" s="205"/>
      <c r="BB114" s="205"/>
      <c r="BC114" s="205"/>
      <c r="BD114" s="205"/>
      <c r="BE114" s="205"/>
      <c r="BF114" s="205"/>
      <c r="BG114" s="205"/>
      <c r="BH114" s="205"/>
      <c r="BI114" s="205"/>
      <c r="BJ114" s="205"/>
      <c r="BK114" s="205"/>
      <c r="BL114" s="205"/>
      <c r="BM114" s="205"/>
      <c r="BN114" s="205"/>
      <c r="BO114" s="205"/>
      <c r="BP114" s="205"/>
      <c r="BQ114" s="205"/>
      <c r="BR114" s="205"/>
    </row>
    <row r="115" spans="1:70" s="203" customFormat="1" hidden="1" x14ac:dyDescent="0.3">
      <c r="A115" s="786"/>
      <c r="B115" s="790"/>
      <c r="C115" s="786"/>
      <c r="D115" s="786"/>
      <c r="E115" s="786"/>
      <c r="F115" s="786"/>
      <c r="G115" s="1011"/>
      <c r="R115" s="205"/>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c r="AU115" s="205"/>
      <c r="AV115" s="205"/>
      <c r="AW115" s="205"/>
      <c r="AX115" s="205"/>
      <c r="AY115" s="205"/>
      <c r="AZ115" s="205"/>
      <c r="BA115" s="205"/>
      <c r="BB115" s="205"/>
      <c r="BC115" s="205"/>
      <c r="BD115" s="205"/>
      <c r="BE115" s="205"/>
      <c r="BF115" s="205"/>
      <c r="BG115" s="205"/>
      <c r="BH115" s="205"/>
      <c r="BI115" s="205"/>
      <c r="BJ115" s="205"/>
      <c r="BK115" s="205"/>
      <c r="BL115" s="205"/>
      <c r="BM115" s="205"/>
      <c r="BN115" s="205"/>
      <c r="BO115" s="205"/>
      <c r="BP115" s="205"/>
      <c r="BQ115" s="205"/>
      <c r="BR115" s="205"/>
    </row>
    <row r="116" spans="1:70" s="203" customFormat="1" hidden="1" x14ac:dyDescent="0.3">
      <c r="A116" s="788" t="s">
        <v>110</v>
      </c>
      <c r="B116" s="786"/>
      <c r="C116" s="786"/>
      <c r="D116" s="786"/>
      <c r="E116" s="786"/>
      <c r="F116" s="786"/>
      <c r="G116" s="1011"/>
      <c r="R116" s="205"/>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c r="AU116" s="205"/>
      <c r="AV116" s="205"/>
      <c r="AW116" s="205"/>
      <c r="AX116" s="205"/>
      <c r="AY116" s="205"/>
      <c r="AZ116" s="205"/>
      <c r="BA116" s="205"/>
      <c r="BB116" s="205"/>
      <c r="BC116" s="205"/>
      <c r="BD116" s="205"/>
      <c r="BE116" s="205"/>
      <c r="BF116" s="205"/>
      <c r="BG116" s="205"/>
      <c r="BH116" s="205"/>
      <c r="BI116" s="205"/>
      <c r="BJ116" s="205"/>
      <c r="BK116" s="205"/>
      <c r="BL116" s="205"/>
      <c r="BM116" s="205"/>
      <c r="BN116" s="205"/>
      <c r="BO116" s="205"/>
      <c r="BP116" s="205"/>
      <c r="BQ116" s="205"/>
      <c r="BR116" s="205"/>
    </row>
    <row r="117" spans="1:70" s="203" customFormat="1" hidden="1" x14ac:dyDescent="0.3">
      <c r="A117" s="789" t="s">
        <v>79</v>
      </c>
      <c r="B117" s="790">
        <f>C95</f>
        <v>0</v>
      </c>
      <c r="C117" s="786"/>
      <c r="D117" s="786"/>
      <c r="E117" s="786"/>
      <c r="F117" s="786"/>
      <c r="G117" s="1011"/>
      <c r="R117" s="205"/>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c r="AU117" s="205"/>
      <c r="AV117" s="205"/>
      <c r="AW117" s="205"/>
      <c r="AX117" s="205"/>
      <c r="AY117" s="205"/>
      <c r="AZ117" s="205"/>
      <c r="BA117" s="205"/>
      <c r="BB117" s="205"/>
      <c r="BC117" s="205"/>
      <c r="BD117" s="205"/>
      <c r="BE117" s="205"/>
      <c r="BF117" s="205"/>
      <c r="BG117" s="205"/>
      <c r="BH117" s="205"/>
      <c r="BI117" s="205"/>
      <c r="BJ117" s="205"/>
      <c r="BK117" s="205"/>
      <c r="BL117" s="205"/>
      <c r="BM117" s="205"/>
      <c r="BN117" s="205"/>
      <c r="BO117" s="205"/>
      <c r="BP117" s="205"/>
      <c r="BQ117" s="205"/>
      <c r="BR117" s="205"/>
    </row>
    <row r="118" spans="1:70" s="203" customFormat="1" hidden="1" x14ac:dyDescent="0.3">
      <c r="A118" s="789" t="s">
        <v>78</v>
      </c>
      <c r="B118" s="790">
        <f>C96</f>
        <v>0</v>
      </c>
      <c r="C118" s="786"/>
      <c r="D118" s="786"/>
      <c r="E118" s="786"/>
      <c r="F118" s="786"/>
      <c r="G118" s="1011"/>
      <c r="R118" s="205"/>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5"/>
      <c r="AS118" s="205"/>
      <c r="AT118" s="205"/>
      <c r="AU118" s="205"/>
      <c r="AV118" s="205"/>
      <c r="AW118" s="205"/>
      <c r="AX118" s="205"/>
      <c r="AY118" s="205"/>
      <c r="AZ118" s="205"/>
      <c r="BA118" s="205"/>
      <c r="BB118" s="205"/>
      <c r="BC118" s="205"/>
      <c r="BD118" s="205"/>
      <c r="BE118" s="205"/>
      <c r="BF118" s="205"/>
      <c r="BG118" s="205"/>
      <c r="BH118" s="205"/>
      <c r="BI118" s="205"/>
      <c r="BJ118" s="205"/>
      <c r="BK118" s="205"/>
      <c r="BL118" s="205"/>
      <c r="BM118" s="205"/>
      <c r="BN118" s="205"/>
      <c r="BO118" s="205"/>
      <c r="BP118" s="205"/>
      <c r="BQ118" s="205"/>
      <c r="BR118" s="205"/>
    </row>
    <row r="119" spans="1:70" s="203" customFormat="1" hidden="1" x14ac:dyDescent="0.3">
      <c r="A119" s="786" t="s">
        <v>4</v>
      </c>
      <c r="B119" s="790">
        <f>SUM(B117:B118)</f>
        <v>0</v>
      </c>
      <c r="C119" s="786"/>
      <c r="D119" s="786"/>
      <c r="E119" s="786"/>
      <c r="F119" s="786"/>
      <c r="G119" s="1011"/>
      <c r="R119" s="205"/>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05"/>
      <c r="BC119" s="205"/>
      <c r="BD119" s="205"/>
      <c r="BE119" s="205"/>
      <c r="BF119" s="205"/>
      <c r="BG119" s="205"/>
      <c r="BH119" s="205"/>
      <c r="BI119" s="205"/>
      <c r="BJ119" s="205"/>
      <c r="BK119" s="205"/>
      <c r="BL119" s="205"/>
      <c r="BM119" s="205"/>
      <c r="BN119" s="205"/>
      <c r="BO119" s="205"/>
      <c r="BP119" s="205"/>
      <c r="BQ119" s="205"/>
      <c r="BR119" s="205"/>
    </row>
    <row r="120" spans="1:70" s="203" customFormat="1" hidden="1" x14ac:dyDescent="0.3">
      <c r="A120" s="786"/>
      <c r="B120" s="786"/>
      <c r="C120" s="786"/>
      <c r="D120" s="786"/>
      <c r="E120" s="786"/>
      <c r="F120" s="786"/>
      <c r="G120" s="1011"/>
      <c r="R120" s="205"/>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05"/>
      <c r="BC120" s="205"/>
      <c r="BD120" s="205"/>
      <c r="BE120" s="205"/>
      <c r="BF120" s="205"/>
      <c r="BG120" s="205"/>
      <c r="BH120" s="205"/>
      <c r="BI120" s="205"/>
      <c r="BJ120" s="205"/>
      <c r="BK120" s="205"/>
      <c r="BL120" s="205"/>
      <c r="BM120" s="205"/>
      <c r="BN120" s="205"/>
      <c r="BO120" s="205"/>
      <c r="BP120" s="205"/>
      <c r="BQ120" s="205"/>
      <c r="BR120" s="205"/>
    </row>
    <row r="121" spans="1:70" s="203" customFormat="1" hidden="1" x14ac:dyDescent="0.3">
      <c r="A121" s="786" t="s">
        <v>89</v>
      </c>
      <c r="B121" s="790">
        <f>$B$7*C86/12</f>
        <v>0</v>
      </c>
      <c r="C121" s="786"/>
      <c r="D121" s="786"/>
      <c r="E121" s="786"/>
      <c r="F121" s="786"/>
      <c r="G121" s="1011"/>
      <c r="R121" s="205"/>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05"/>
      <c r="AQ121" s="205"/>
      <c r="AR121" s="205"/>
      <c r="AS121" s="205"/>
      <c r="AT121" s="205"/>
      <c r="AU121" s="205"/>
      <c r="AV121" s="205"/>
      <c r="AW121" s="205"/>
      <c r="AX121" s="205"/>
      <c r="AY121" s="205"/>
      <c r="AZ121" s="205"/>
      <c r="BA121" s="205"/>
      <c r="BB121" s="205"/>
      <c r="BC121" s="205"/>
      <c r="BD121" s="205"/>
      <c r="BE121" s="205"/>
      <c r="BF121" s="205"/>
      <c r="BG121" s="205"/>
      <c r="BH121" s="205"/>
      <c r="BI121" s="205"/>
      <c r="BJ121" s="205"/>
      <c r="BK121" s="205"/>
      <c r="BL121" s="205"/>
      <c r="BM121" s="205"/>
      <c r="BN121" s="205"/>
      <c r="BO121" s="205"/>
      <c r="BP121" s="205"/>
      <c r="BQ121" s="205"/>
      <c r="BR121" s="205"/>
    </row>
    <row r="122" spans="1:70" s="203" customFormat="1" hidden="1" x14ac:dyDescent="0.3">
      <c r="A122" s="786"/>
      <c r="B122" s="786"/>
      <c r="C122" s="786"/>
      <c r="D122" s="786"/>
      <c r="E122" s="786"/>
      <c r="F122" s="786"/>
      <c r="G122" s="1011"/>
      <c r="R122" s="205"/>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c r="AU122" s="205"/>
      <c r="AV122" s="205"/>
      <c r="AW122" s="205"/>
      <c r="AX122" s="205"/>
      <c r="AY122" s="205"/>
      <c r="AZ122" s="205"/>
      <c r="BA122" s="205"/>
      <c r="BB122" s="205"/>
      <c r="BC122" s="205"/>
      <c r="BD122" s="205"/>
      <c r="BE122" s="205"/>
      <c r="BF122" s="205"/>
      <c r="BG122" s="205"/>
      <c r="BH122" s="205"/>
      <c r="BI122" s="205"/>
      <c r="BJ122" s="205"/>
      <c r="BK122" s="205"/>
      <c r="BL122" s="205"/>
      <c r="BM122" s="205"/>
      <c r="BN122" s="205"/>
      <c r="BO122" s="205"/>
      <c r="BP122" s="205"/>
      <c r="BQ122" s="205"/>
      <c r="BR122" s="205"/>
    </row>
    <row r="123" spans="1:70" s="203" customFormat="1" hidden="1" x14ac:dyDescent="0.3">
      <c r="A123" s="786" t="s">
        <v>90</v>
      </c>
      <c r="B123" s="790">
        <f>B121-B119</f>
        <v>0</v>
      </c>
      <c r="C123" s="786"/>
      <c r="D123" s="786"/>
      <c r="E123" s="786"/>
      <c r="F123" s="786"/>
      <c r="G123" s="1011"/>
      <c r="R123" s="205"/>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5"/>
      <c r="AZ123" s="205"/>
      <c r="BA123" s="205"/>
      <c r="BB123" s="205"/>
      <c r="BC123" s="205"/>
      <c r="BD123" s="205"/>
      <c r="BE123" s="205"/>
      <c r="BF123" s="205"/>
      <c r="BG123" s="205"/>
      <c r="BH123" s="205"/>
      <c r="BI123" s="205"/>
      <c r="BJ123" s="205"/>
      <c r="BK123" s="205"/>
      <c r="BL123" s="205"/>
      <c r="BM123" s="205"/>
      <c r="BN123" s="205"/>
      <c r="BO123" s="205"/>
      <c r="BP123" s="205"/>
      <c r="BQ123" s="205"/>
      <c r="BR123" s="205"/>
    </row>
    <row r="124" spans="1:70" s="203" customFormat="1" x14ac:dyDescent="0.3">
      <c r="A124" s="773"/>
      <c r="B124" s="773"/>
      <c r="C124" s="773"/>
      <c r="D124" s="773"/>
      <c r="E124" s="773"/>
      <c r="F124" s="773"/>
      <c r="G124" s="773"/>
      <c r="R124" s="205"/>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c r="AU124" s="205"/>
      <c r="AV124" s="205"/>
      <c r="AW124" s="205"/>
      <c r="AX124" s="205"/>
      <c r="AY124" s="205"/>
      <c r="AZ124" s="205"/>
      <c r="BA124" s="205"/>
      <c r="BB124" s="205"/>
      <c r="BC124" s="205"/>
      <c r="BD124" s="205"/>
      <c r="BE124" s="205"/>
      <c r="BF124" s="205"/>
      <c r="BG124" s="205"/>
      <c r="BH124" s="205"/>
      <c r="BI124" s="205"/>
      <c r="BJ124" s="205"/>
      <c r="BK124" s="205"/>
      <c r="BL124" s="205"/>
      <c r="BM124" s="205"/>
      <c r="BN124" s="205"/>
      <c r="BO124" s="205"/>
      <c r="BP124" s="205"/>
      <c r="BQ124" s="205"/>
      <c r="BR124" s="205"/>
    </row>
    <row r="125" spans="1:70" s="204" customFormat="1" x14ac:dyDescent="0.3">
      <c r="A125" s="773"/>
      <c r="B125" s="773"/>
      <c r="C125" s="773"/>
      <c r="D125" s="773"/>
      <c r="E125" s="773"/>
      <c r="F125" s="773"/>
      <c r="G125" s="773"/>
      <c r="R125" s="205"/>
      <c r="S125" s="205"/>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c r="AP125" s="205"/>
      <c r="AQ125" s="205"/>
      <c r="AR125" s="205"/>
      <c r="AS125" s="205"/>
      <c r="AT125" s="205"/>
      <c r="AU125" s="205"/>
      <c r="AV125" s="205"/>
      <c r="AW125" s="205"/>
      <c r="AX125" s="205"/>
      <c r="AY125" s="205"/>
      <c r="AZ125" s="205"/>
      <c r="BA125" s="205"/>
      <c r="BB125" s="205"/>
      <c r="BC125" s="205"/>
      <c r="BD125" s="205"/>
      <c r="BE125" s="205"/>
      <c r="BF125" s="205"/>
      <c r="BG125" s="205"/>
      <c r="BH125" s="205"/>
      <c r="BI125" s="205"/>
      <c r="BJ125" s="205"/>
      <c r="BK125" s="205"/>
      <c r="BL125" s="205"/>
      <c r="BM125" s="205"/>
      <c r="BN125" s="205"/>
      <c r="BO125" s="205"/>
      <c r="BP125" s="205"/>
      <c r="BQ125" s="205"/>
      <c r="BR125" s="205"/>
    </row>
    <row r="126" spans="1:70" s="203" customFormat="1" x14ac:dyDescent="0.3">
      <c r="A126" s="1540" t="s">
        <v>250</v>
      </c>
      <c r="B126" s="1540"/>
      <c r="C126" s="1540"/>
      <c r="D126" s="1540"/>
      <c r="E126" s="1540"/>
      <c r="F126" s="1540"/>
      <c r="G126" s="1011"/>
      <c r="H126" s="26"/>
      <c r="I126" s="26"/>
      <c r="R126" s="205"/>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c r="AP126" s="205"/>
      <c r="AQ126" s="205"/>
      <c r="AR126" s="205"/>
      <c r="AS126" s="205"/>
      <c r="AT126" s="205"/>
      <c r="AU126" s="205"/>
      <c r="AV126" s="205"/>
      <c r="AW126" s="205"/>
      <c r="AX126" s="205"/>
      <c r="AY126" s="205"/>
      <c r="AZ126" s="205"/>
      <c r="BA126" s="205"/>
      <c r="BB126" s="205"/>
      <c r="BC126" s="205"/>
      <c r="BD126" s="205"/>
      <c r="BE126" s="205"/>
      <c r="BF126" s="205"/>
      <c r="BG126" s="205"/>
      <c r="BH126" s="205"/>
      <c r="BI126" s="205"/>
      <c r="BJ126" s="205"/>
      <c r="BK126" s="205"/>
      <c r="BL126" s="205"/>
      <c r="BM126" s="205"/>
      <c r="BN126" s="205"/>
      <c r="BO126" s="205"/>
      <c r="BP126" s="205"/>
      <c r="BQ126" s="205"/>
      <c r="BR126" s="205"/>
    </row>
    <row r="127" spans="1:70" s="203" customFormat="1" x14ac:dyDescent="0.3">
      <c r="A127" s="597" t="s">
        <v>109</v>
      </c>
      <c r="B127" s="784"/>
      <c r="C127" s="771"/>
      <c r="D127" s="772"/>
      <c r="E127" s="772"/>
      <c r="F127" s="772"/>
      <c r="G127" s="1011"/>
      <c r="H127" s="26"/>
      <c r="I127" s="26"/>
      <c r="R127" s="205"/>
      <c r="S127" s="205"/>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c r="AU127" s="205"/>
      <c r="AV127" s="205"/>
      <c r="AW127" s="205"/>
      <c r="AX127" s="205"/>
      <c r="AY127" s="205"/>
      <c r="AZ127" s="205"/>
      <c r="BA127" s="205"/>
      <c r="BB127" s="205"/>
      <c r="BC127" s="205"/>
      <c r="BD127" s="205"/>
      <c r="BE127" s="205"/>
      <c r="BF127" s="205"/>
      <c r="BG127" s="205"/>
      <c r="BH127" s="205"/>
      <c r="BI127" s="205"/>
      <c r="BJ127" s="205"/>
      <c r="BK127" s="205"/>
      <c r="BL127" s="205"/>
      <c r="BM127" s="205"/>
      <c r="BN127" s="205"/>
      <c r="BO127" s="205"/>
      <c r="BP127" s="205"/>
      <c r="BQ127" s="205"/>
      <c r="BR127" s="205"/>
    </row>
    <row r="128" spans="1:70" s="203" customFormat="1" x14ac:dyDescent="0.3">
      <c r="A128" s="593" t="s">
        <v>629</v>
      </c>
      <c r="B128" s="998"/>
      <c r="C128" s="1452">
        <v>0</v>
      </c>
      <c r="D128" s="774"/>
      <c r="E128" s="774"/>
      <c r="F128" s="774"/>
      <c r="G128" s="1011"/>
      <c r="H128" s="30"/>
      <c r="I128" s="30"/>
      <c r="J128" s="205"/>
      <c r="K128" s="205"/>
      <c r="L128" s="205"/>
      <c r="M128" s="205"/>
      <c r="N128" s="205"/>
      <c r="O128" s="205"/>
      <c r="P128" s="205"/>
      <c r="Q128" s="205"/>
      <c r="R128" s="205"/>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5"/>
      <c r="AY128" s="205"/>
      <c r="AZ128" s="205"/>
      <c r="BA128" s="205"/>
      <c r="BB128" s="205"/>
      <c r="BC128" s="205"/>
      <c r="BD128" s="205"/>
      <c r="BE128" s="205"/>
      <c r="BF128" s="205"/>
      <c r="BG128" s="205"/>
      <c r="BH128" s="205"/>
      <c r="BI128" s="205"/>
      <c r="BJ128" s="205"/>
      <c r="BK128" s="205"/>
      <c r="BL128" s="205"/>
      <c r="BM128" s="205"/>
      <c r="BN128" s="205"/>
      <c r="BO128" s="205"/>
      <c r="BP128" s="205"/>
      <c r="BQ128" s="205"/>
      <c r="BR128" s="205"/>
    </row>
    <row r="129" spans="1:70" s="207" customFormat="1" x14ac:dyDescent="0.3">
      <c r="A129" s="592"/>
      <c r="B129" s="999"/>
      <c r="C129" s="592"/>
      <c r="D129" s="774"/>
      <c r="E129" s="774"/>
      <c r="F129" s="774"/>
      <c r="G129" s="1011"/>
      <c r="H129" s="35"/>
      <c r="I129" s="35"/>
      <c r="J129" s="206"/>
      <c r="K129" s="206"/>
      <c r="L129" s="206"/>
      <c r="M129" s="206"/>
      <c r="N129" s="206"/>
      <c r="O129" s="206"/>
      <c r="P129" s="206"/>
      <c r="Q129" s="206"/>
      <c r="R129" s="205"/>
      <c r="S129" s="205"/>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c r="AP129" s="205"/>
      <c r="AQ129" s="205"/>
      <c r="AR129" s="205"/>
      <c r="AS129" s="205"/>
      <c r="AT129" s="205"/>
      <c r="AU129" s="205"/>
      <c r="AV129" s="205"/>
      <c r="AW129" s="205"/>
      <c r="AX129" s="205"/>
      <c r="AY129" s="205"/>
      <c r="AZ129" s="205"/>
      <c r="BA129" s="205"/>
      <c r="BB129" s="205"/>
      <c r="BC129" s="205"/>
      <c r="BD129" s="205"/>
      <c r="BE129" s="205"/>
      <c r="BF129" s="205"/>
      <c r="BG129" s="205"/>
      <c r="BH129" s="205"/>
      <c r="BI129" s="205"/>
      <c r="BJ129" s="205"/>
      <c r="BK129" s="205"/>
      <c r="BL129" s="205"/>
      <c r="BM129" s="205"/>
      <c r="BN129" s="205"/>
      <c r="BO129" s="205"/>
      <c r="BP129" s="205"/>
      <c r="BQ129" s="205"/>
      <c r="BR129" s="205"/>
    </row>
    <row r="130" spans="1:70" s="203" customFormat="1" ht="15" thickBot="1" x14ac:dyDescent="0.35">
      <c r="A130" s="593" t="s">
        <v>239</v>
      </c>
      <c r="B130" s="998"/>
      <c r="C130" s="809">
        <f>B171</f>
        <v>0</v>
      </c>
      <c r="D130" s="775"/>
      <c r="E130" s="775"/>
      <c r="F130" s="775"/>
      <c r="G130" s="1011"/>
      <c r="I130" s="28"/>
      <c r="J130" s="29"/>
      <c r="K130" s="29"/>
      <c r="R130" s="205"/>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c r="AU130" s="205"/>
      <c r="AV130" s="205"/>
      <c r="AW130" s="205"/>
      <c r="AX130" s="205"/>
      <c r="AY130" s="205"/>
      <c r="AZ130" s="205"/>
      <c r="BA130" s="205"/>
      <c r="BB130" s="205"/>
      <c r="BC130" s="205"/>
      <c r="BD130" s="205"/>
      <c r="BE130" s="205"/>
      <c r="BF130" s="205"/>
      <c r="BG130" s="205"/>
      <c r="BH130" s="205"/>
      <c r="BI130" s="205"/>
      <c r="BJ130" s="205"/>
      <c r="BK130" s="205"/>
      <c r="BL130" s="205"/>
      <c r="BM130" s="205"/>
      <c r="BN130" s="205"/>
      <c r="BO130" s="205"/>
      <c r="BP130" s="205"/>
      <c r="BQ130" s="205"/>
      <c r="BR130" s="205"/>
    </row>
    <row r="131" spans="1:70" s="203" customFormat="1" ht="15.6" thickTop="1" thickBot="1" x14ac:dyDescent="0.35">
      <c r="A131" s="593" t="s">
        <v>242</v>
      </c>
      <c r="B131" s="998"/>
      <c r="C131" s="599" t="s">
        <v>59</v>
      </c>
      <c r="D131" s="998"/>
      <c r="E131" s="775"/>
      <c r="F131" s="775"/>
      <c r="G131" s="1011"/>
      <c r="I131" s="28"/>
      <c r="J131" s="29"/>
      <c r="K131" s="29"/>
      <c r="R131" s="205"/>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c r="AU131" s="205"/>
      <c r="AV131" s="205"/>
      <c r="AW131" s="205"/>
      <c r="AX131" s="205"/>
      <c r="AY131" s="205"/>
      <c r="AZ131" s="205"/>
      <c r="BA131" s="205"/>
      <c r="BB131" s="205"/>
      <c r="BC131" s="205"/>
      <c r="BD131" s="205"/>
      <c r="BE131" s="205"/>
      <c r="BF131" s="205"/>
      <c r="BG131" s="205"/>
      <c r="BH131" s="205"/>
      <c r="BI131" s="205"/>
      <c r="BJ131" s="205"/>
      <c r="BK131" s="205"/>
      <c r="BL131" s="205"/>
      <c r="BM131" s="205"/>
      <c r="BN131" s="205"/>
      <c r="BO131" s="205"/>
      <c r="BP131" s="205"/>
      <c r="BQ131" s="205"/>
      <c r="BR131" s="205"/>
    </row>
    <row r="132" spans="1:70" s="203" customFormat="1" ht="15" thickTop="1" x14ac:dyDescent="0.3">
      <c r="A132" s="593" t="s">
        <v>247</v>
      </c>
      <c r="B132" s="998"/>
      <c r="C132" s="1001"/>
      <c r="D132" s="1005"/>
      <c r="E132" s="775"/>
      <c r="F132" s="775"/>
      <c r="G132" s="1011"/>
      <c r="I132" s="28"/>
      <c r="J132" s="29"/>
      <c r="K132" s="29"/>
      <c r="R132" s="205"/>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c r="AP132" s="205"/>
      <c r="AQ132" s="205"/>
      <c r="AR132" s="205"/>
      <c r="AS132" s="205"/>
      <c r="AT132" s="205"/>
      <c r="AU132" s="205"/>
      <c r="AV132" s="205"/>
      <c r="AW132" s="205"/>
      <c r="AX132" s="205"/>
      <c r="AY132" s="205"/>
      <c r="AZ132" s="205"/>
      <c r="BA132" s="205"/>
      <c r="BB132" s="205"/>
      <c r="BC132" s="205"/>
      <c r="BD132" s="205"/>
      <c r="BE132" s="205"/>
      <c r="BF132" s="205"/>
      <c r="BG132" s="205"/>
      <c r="BH132" s="205"/>
      <c r="BI132" s="205"/>
      <c r="BJ132" s="205"/>
      <c r="BK132" s="205"/>
      <c r="BL132" s="205"/>
      <c r="BM132" s="205"/>
      <c r="BN132" s="205"/>
      <c r="BO132" s="205"/>
      <c r="BP132" s="205"/>
      <c r="BQ132" s="205"/>
      <c r="BR132" s="205"/>
    </row>
    <row r="133" spans="1:70" s="203" customFormat="1" x14ac:dyDescent="0.3">
      <c r="A133" s="593" t="s">
        <v>248</v>
      </c>
      <c r="B133" s="998"/>
      <c r="C133" s="998"/>
      <c r="D133" s="1005"/>
      <c r="E133" s="775"/>
      <c r="F133" s="775"/>
      <c r="G133" s="1011"/>
      <c r="I133" s="28"/>
      <c r="J133" s="29"/>
      <c r="K133" s="29"/>
      <c r="R133" s="205"/>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205"/>
      <c r="AQ133" s="205"/>
      <c r="AR133" s="205"/>
      <c r="AS133" s="205"/>
      <c r="AT133" s="205"/>
      <c r="AU133" s="205"/>
      <c r="AV133" s="205"/>
      <c r="AW133" s="205"/>
      <c r="AX133" s="205"/>
      <c r="AY133" s="205"/>
      <c r="AZ133" s="205"/>
      <c r="BA133" s="205"/>
      <c r="BB133" s="205"/>
      <c r="BC133" s="205"/>
      <c r="BD133" s="205"/>
      <c r="BE133" s="205"/>
      <c r="BF133" s="205"/>
      <c r="BG133" s="205"/>
      <c r="BH133" s="205"/>
      <c r="BI133" s="205"/>
      <c r="BJ133" s="205"/>
      <c r="BK133" s="205"/>
      <c r="BL133" s="205"/>
      <c r="BM133" s="205"/>
      <c r="BN133" s="205"/>
      <c r="BO133" s="205"/>
      <c r="BP133" s="205"/>
      <c r="BQ133" s="205"/>
      <c r="BR133" s="205"/>
    </row>
    <row r="134" spans="1:70" s="203" customFormat="1" x14ac:dyDescent="0.3">
      <c r="A134" s="593" t="s">
        <v>243</v>
      </c>
      <c r="B134" s="998"/>
      <c r="C134" s="600"/>
      <c r="D134" s="774"/>
      <c r="E134" s="774"/>
      <c r="F134" s="774"/>
      <c r="G134" s="1011"/>
      <c r="I134" s="26"/>
      <c r="R134" s="205"/>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c r="AP134" s="205"/>
      <c r="AQ134" s="205"/>
      <c r="AR134" s="205"/>
      <c r="AS134" s="205"/>
      <c r="AT134" s="205"/>
      <c r="AU134" s="205"/>
      <c r="AV134" s="205"/>
      <c r="AW134" s="205"/>
      <c r="AX134" s="205"/>
      <c r="AY134" s="205"/>
      <c r="AZ134" s="205"/>
      <c r="BA134" s="205"/>
      <c r="BB134" s="205"/>
      <c r="BC134" s="205"/>
      <c r="BD134" s="205"/>
      <c r="BE134" s="205"/>
      <c r="BF134" s="205"/>
      <c r="BG134" s="205"/>
      <c r="BH134" s="205"/>
      <c r="BI134" s="205"/>
      <c r="BJ134" s="205"/>
      <c r="BK134" s="205"/>
      <c r="BL134" s="205"/>
      <c r="BM134" s="205"/>
      <c r="BN134" s="205"/>
      <c r="BO134" s="205"/>
      <c r="BP134" s="205"/>
      <c r="BQ134" s="205"/>
      <c r="BR134" s="205"/>
    </row>
    <row r="135" spans="1:70" s="203" customFormat="1" x14ac:dyDescent="0.3">
      <c r="A135" s="593"/>
      <c r="B135" s="1000"/>
      <c r="C135" s="592"/>
      <c r="D135" s="774"/>
      <c r="E135" s="774"/>
      <c r="F135" s="774"/>
      <c r="G135" s="1011"/>
      <c r="I135" s="26"/>
      <c r="R135" s="205"/>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c r="AU135" s="205"/>
      <c r="AV135" s="205"/>
      <c r="AW135" s="205"/>
      <c r="AX135" s="205"/>
      <c r="AY135" s="205"/>
      <c r="AZ135" s="205"/>
      <c r="BA135" s="205"/>
      <c r="BB135" s="205"/>
      <c r="BC135" s="205"/>
      <c r="BD135" s="205"/>
      <c r="BE135" s="205"/>
      <c r="BF135" s="205"/>
      <c r="BG135" s="205"/>
      <c r="BH135" s="205"/>
      <c r="BI135" s="205"/>
      <c r="BJ135" s="205"/>
      <c r="BK135" s="205"/>
      <c r="BL135" s="205"/>
      <c r="BM135" s="205"/>
      <c r="BN135" s="205"/>
      <c r="BO135" s="205"/>
      <c r="BP135" s="205"/>
      <c r="BQ135" s="205"/>
      <c r="BR135" s="205"/>
    </row>
    <row r="136" spans="1:70" s="206" customFormat="1" ht="15" customHeight="1" x14ac:dyDescent="0.3">
      <c r="A136" s="1003" t="s">
        <v>240</v>
      </c>
      <c r="B136" s="1001"/>
      <c r="C136" s="1001"/>
      <c r="D136" s="1001"/>
      <c r="E136" s="1001"/>
      <c r="F136" s="1001"/>
      <c r="G136" s="1011"/>
    </row>
    <row r="137" spans="1:70" s="206" customFormat="1" x14ac:dyDescent="0.3">
      <c r="A137" s="1004" t="s">
        <v>91</v>
      </c>
      <c r="B137" s="596"/>
      <c r="C137" s="1007">
        <f>$B$4*C128/12</f>
        <v>0</v>
      </c>
      <c r="D137" s="596"/>
      <c r="E137" s="596"/>
      <c r="F137" s="596"/>
      <c r="G137" s="1011"/>
      <c r="H137" s="32"/>
    </row>
    <row r="138" spans="1:70" s="206" customFormat="1" x14ac:dyDescent="0.3">
      <c r="A138" s="596" t="s">
        <v>92</v>
      </c>
      <c r="B138" s="596"/>
      <c r="C138" s="1007">
        <f>$B$5*C128/12</f>
        <v>0</v>
      </c>
      <c r="D138" s="1006"/>
      <c r="E138" s="596"/>
      <c r="F138" s="596"/>
      <c r="G138" s="1011"/>
      <c r="H138" s="33"/>
    </row>
    <row r="139" spans="1:70" s="206" customFormat="1" x14ac:dyDescent="0.3">
      <c r="A139" s="596" t="s">
        <v>107</v>
      </c>
      <c r="B139" s="596"/>
      <c r="C139" s="1008">
        <f>IF(C131="Yes", B171, C134)</f>
        <v>0</v>
      </c>
      <c r="D139" s="596"/>
      <c r="E139" s="596"/>
      <c r="F139" s="596"/>
      <c r="G139" s="1011"/>
      <c r="H139" s="31"/>
    </row>
    <row r="140" spans="1:70" s="206" customFormat="1" x14ac:dyDescent="0.3">
      <c r="A140" s="596" t="s">
        <v>95</v>
      </c>
      <c r="B140" s="596"/>
      <c r="C140" s="1007">
        <f>SUM(C137:C139)</f>
        <v>0</v>
      </c>
      <c r="D140" s="596"/>
      <c r="E140" s="596"/>
      <c r="F140" s="596"/>
      <c r="G140" s="1011"/>
      <c r="H140" s="203"/>
    </row>
    <row r="141" spans="1:70" s="206" customFormat="1" x14ac:dyDescent="0.3">
      <c r="A141" s="596"/>
      <c r="B141" s="1002"/>
      <c r="C141" s="596"/>
      <c r="D141" s="596"/>
      <c r="E141" s="596"/>
      <c r="F141" s="596"/>
      <c r="G141" s="1011"/>
      <c r="H141" s="203"/>
    </row>
    <row r="142" spans="1:70" s="203" customFormat="1" x14ac:dyDescent="0.3">
      <c r="A142" s="597" t="s">
        <v>110</v>
      </c>
      <c r="B142" s="784"/>
      <c r="C142" s="771"/>
      <c r="D142" s="772"/>
      <c r="E142" s="772"/>
      <c r="F142" s="772"/>
      <c r="G142" s="1011"/>
      <c r="H142" s="26"/>
      <c r="I142" s="26"/>
      <c r="R142" s="205"/>
      <c r="S142" s="205"/>
      <c r="T142" s="205"/>
      <c r="U142" s="205"/>
      <c r="V142" s="205"/>
      <c r="W142" s="205"/>
      <c r="X142" s="205"/>
      <c r="Y142" s="205"/>
      <c r="Z142" s="205"/>
      <c r="AA142" s="205"/>
      <c r="AB142" s="205"/>
      <c r="AC142" s="205"/>
      <c r="AD142" s="205"/>
      <c r="AE142" s="205"/>
      <c r="AF142" s="205"/>
      <c r="AG142" s="205"/>
      <c r="AH142" s="205"/>
      <c r="AI142" s="205"/>
      <c r="AJ142" s="205"/>
      <c r="AK142" s="205"/>
      <c r="AL142" s="205"/>
      <c r="AM142" s="205"/>
      <c r="AN142" s="205"/>
      <c r="AO142" s="205"/>
      <c r="AP142" s="205"/>
      <c r="AQ142" s="205"/>
      <c r="AR142" s="205"/>
      <c r="AS142" s="205"/>
      <c r="AT142" s="205"/>
      <c r="AU142" s="205"/>
      <c r="AV142" s="205"/>
      <c r="AW142" s="205"/>
      <c r="AX142" s="205"/>
      <c r="AY142" s="205"/>
      <c r="AZ142" s="205"/>
      <c r="BA142" s="205"/>
      <c r="BB142" s="205"/>
      <c r="BC142" s="205"/>
      <c r="BD142" s="205"/>
      <c r="BE142" s="205"/>
      <c r="BF142" s="205"/>
      <c r="BG142" s="205"/>
      <c r="BH142" s="205"/>
      <c r="BI142" s="205"/>
      <c r="BJ142" s="205"/>
      <c r="BK142" s="205"/>
      <c r="BL142" s="205"/>
      <c r="BM142" s="205"/>
      <c r="BN142" s="205"/>
      <c r="BO142" s="205"/>
      <c r="BP142" s="205"/>
      <c r="BQ142" s="205"/>
      <c r="BR142" s="205"/>
    </row>
    <row r="143" spans="1:70" s="203" customFormat="1" x14ac:dyDescent="0.3">
      <c r="A143" s="593" t="s">
        <v>631</v>
      </c>
      <c r="B143" s="998"/>
      <c r="C143" s="1452">
        <v>0</v>
      </c>
      <c r="D143" s="774"/>
      <c r="E143" s="774"/>
      <c r="F143" s="774"/>
      <c r="G143" s="1011"/>
      <c r="H143" s="30"/>
      <c r="I143" s="30"/>
      <c r="J143" s="205"/>
      <c r="K143" s="205"/>
      <c r="L143" s="205"/>
      <c r="M143" s="205"/>
      <c r="N143" s="205"/>
      <c r="O143" s="205"/>
      <c r="P143" s="205"/>
      <c r="Q143" s="205"/>
      <c r="R143" s="205"/>
      <c r="S143" s="205"/>
      <c r="T143" s="205"/>
      <c r="U143" s="205"/>
      <c r="V143" s="205"/>
      <c r="W143" s="205"/>
      <c r="X143" s="205"/>
      <c r="Y143" s="205"/>
      <c r="Z143" s="205"/>
      <c r="AA143" s="205"/>
      <c r="AB143" s="205"/>
      <c r="AC143" s="205"/>
      <c r="AD143" s="205"/>
      <c r="AE143" s="205"/>
      <c r="AF143" s="205"/>
      <c r="AG143" s="205"/>
      <c r="AH143" s="205"/>
      <c r="AI143" s="205"/>
      <c r="AJ143" s="205"/>
      <c r="AK143" s="205"/>
      <c r="AL143" s="205"/>
      <c r="AM143" s="205"/>
      <c r="AN143" s="205"/>
      <c r="AO143" s="205"/>
      <c r="AP143" s="205"/>
      <c r="AQ143" s="205"/>
      <c r="AR143" s="205"/>
      <c r="AS143" s="205"/>
      <c r="AT143" s="205"/>
      <c r="AU143" s="205"/>
      <c r="AV143" s="205"/>
      <c r="AW143" s="205"/>
      <c r="AX143" s="205"/>
      <c r="AY143" s="205"/>
      <c r="AZ143" s="205"/>
      <c r="BA143" s="205"/>
      <c r="BB143" s="205"/>
      <c r="BC143" s="205"/>
      <c r="BD143" s="205"/>
      <c r="BE143" s="205"/>
      <c r="BF143" s="205"/>
      <c r="BG143" s="205"/>
      <c r="BH143" s="205"/>
      <c r="BI143" s="205"/>
      <c r="BJ143" s="205"/>
      <c r="BK143" s="205"/>
      <c r="BL143" s="205"/>
      <c r="BM143" s="205"/>
      <c r="BN143" s="205"/>
      <c r="BO143" s="205"/>
      <c r="BP143" s="205"/>
      <c r="BQ143" s="205"/>
      <c r="BR143" s="205"/>
    </row>
    <row r="144" spans="1:70" s="207" customFormat="1" x14ac:dyDescent="0.3">
      <c r="A144" s="592"/>
      <c r="B144" s="999"/>
      <c r="C144" s="592"/>
      <c r="D144" s="774"/>
      <c r="E144" s="774"/>
      <c r="F144" s="774"/>
      <c r="G144" s="1011"/>
      <c r="H144" s="35"/>
      <c r="I144" s="35"/>
      <c r="J144" s="206"/>
      <c r="K144" s="206"/>
      <c r="L144" s="206"/>
      <c r="M144" s="206"/>
      <c r="N144" s="206"/>
      <c r="O144" s="206"/>
      <c r="P144" s="206"/>
      <c r="Q144" s="206"/>
      <c r="R144" s="205"/>
      <c r="S144" s="205"/>
      <c r="T144" s="205"/>
      <c r="U144" s="205"/>
      <c r="V144" s="205"/>
      <c r="W144" s="205"/>
      <c r="X144" s="205"/>
      <c r="Y144" s="205"/>
      <c r="Z144" s="205"/>
      <c r="AA144" s="205"/>
      <c r="AB144" s="205"/>
      <c r="AC144" s="205"/>
      <c r="AD144" s="205"/>
      <c r="AE144" s="205"/>
      <c r="AF144" s="205"/>
      <c r="AG144" s="205"/>
      <c r="AH144" s="205"/>
      <c r="AI144" s="205"/>
      <c r="AJ144" s="205"/>
      <c r="AK144" s="205"/>
      <c r="AL144" s="205"/>
      <c r="AM144" s="205"/>
      <c r="AN144" s="205"/>
      <c r="AO144" s="205"/>
      <c r="AP144" s="205"/>
      <c r="AQ144" s="205"/>
      <c r="AR144" s="205"/>
      <c r="AS144" s="205"/>
      <c r="AT144" s="205"/>
      <c r="AU144" s="205"/>
      <c r="AV144" s="205"/>
      <c r="AW144" s="205"/>
      <c r="AX144" s="205"/>
      <c r="AY144" s="205"/>
      <c r="AZ144" s="205"/>
      <c r="BA144" s="205"/>
      <c r="BB144" s="205"/>
      <c r="BC144" s="205"/>
      <c r="BD144" s="205"/>
      <c r="BE144" s="205"/>
      <c r="BF144" s="205"/>
      <c r="BG144" s="205"/>
      <c r="BH144" s="205"/>
      <c r="BI144" s="205"/>
      <c r="BJ144" s="205"/>
      <c r="BK144" s="205"/>
      <c r="BL144" s="205"/>
      <c r="BM144" s="205"/>
      <c r="BN144" s="205"/>
      <c r="BO144" s="205"/>
      <c r="BP144" s="205"/>
      <c r="BQ144" s="205"/>
      <c r="BR144" s="205"/>
    </row>
    <row r="145" spans="1:70" s="203" customFormat="1" ht="15" thickBot="1" x14ac:dyDescent="0.35">
      <c r="A145" s="593" t="s">
        <v>239</v>
      </c>
      <c r="B145" s="998"/>
      <c r="C145" s="809">
        <f>B180</f>
        <v>0</v>
      </c>
      <c r="D145" s="775"/>
      <c r="E145" s="775"/>
      <c r="F145" s="775"/>
      <c r="G145" s="1011"/>
      <c r="I145" s="28"/>
      <c r="J145" s="29"/>
      <c r="K145" s="29"/>
      <c r="R145" s="205"/>
      <c r="S145" s="205"/>
      <c r="T145" s="205"/>
      <c r="U145" s="205"/>
      <c r="V145" s="205"/>
      <c r="W145" s="205"/>
      <c r="X145" s="205"/>
      <c r="Y145" s="205"/>
      <c r="Z145" s="205"/>
      <c r="AA145" s="205"/>
      <c r="AB145" s="205"/>
      <c r="AC145" s="205"/>
      <c r="AD145" s="205"/>
      <c r="AE145" s="205"/>
      <c r="AF145" s="205"/>
      <c r="AG145" s="205"/>
      <c r="AH145" s="205"/>
      <c r="AI145" s="205"/>
      <c r="AJ145" s="205"/>
      <c r="AK145" s="205"/>
      <c r="AL145" s="205"/>
      <c r="AM145" s="205"/>
      <c r="AN145" s="205"/>
      <c r="AO145" s="205"/>
      <c r="AP145" s="205"/>
      <c r="AQ145" s="205"/>
      <c r="AR145" s="205"/>
      <c r="AS145" s="205"/>
      <c r="AT145" s="205"/>
      <c r="AU145" s="205"/>
      <c r="AV145" s="205"/>
      <c r="AW145" s="205"/>
      <c r="AX145" s="205"/>
      <c r="AY145" s="205"/>
      <c r="AZ145" s="205"/>
      <c r="BA145" s="205"/>
      <c r="BB145" s="205"/>
      <c r="BC145" s="205"/>
      <c r="BD145" s="205"/>
      <c r="BE145" s="205"/>
      <c r="BF145" s="205"/>
      <c r="BG145" s="205"/>
      <c r="BH145" s="205"/>
      <c r="BI145" s="205"/>
      <c r="BJ145" s="205"/>
      <c r="BK145" s="205"/>
      <c r="BL145" s="205"/>
      <c r="BM145" s="205"/>
      <c r="BN145" s="205"/>
      <c r="BO145" s="205"/>
      <c r="BP145" s="205"/>
      <c r="BQ145" s="205"/>
      <c r="BR145" s="205"/>
    </row>
    <row r="146" spans="1:70" s="203" customFormat="1" ht="15.6" thickTop="1" thickBot="1" x14ac:dyDescent="0.35">
      <c r="A146" s="593" t="s">
        <v>244</v>
      </c>
      <c r="B146" s="998"/>
      <c r="C146" s="599" t="s">
        <v>59</v>
      </c>
      <c r="D146" s="775"/>
      <c r="E146" s="775"/>
      <c r="F146" s="775"/>
      <c r="G146" s="1011"/>
      <c r="I146" s="28"/>
      <c r="J146" s="29"/>
      <c r="K146" s="29"/>
      <c r="R146" s="205"/>
      <c r="S146" s="205"/>
      <c r="T146" s="205"/>
      <c r="U146" s="205"/>
      <c r="V146" s="205"/>
      <c r="W146" s="205"/>
      <c r="X146" s="205"/>
      <c r="Y146" s="205"/>
      <c r="Z146" s="205"/>
      <c r="AA146" s="205"/>
      <c r="AB146" s="205"/>
      <c r="AC146" s="205"/>
      <c r="AD146" s="205"/>
      <c r="AE146" s="205"/>
      <c r="AF146" s="205"/>
      <c r="AG146" s="205"/>
      <c r="AH146" s="205"/>
      <c r="AI146" s="205"/>
      <c r="AJ146" s="205"/>
      <c r="AK146" s="205"/>
      <c r="AL146" s="205"/>
      <c r="AM146" s="205"/>
      <c r="AN146" s="205"/>
      <c r="AO146" s="205"/>
      <c r="AP146" s="205"/>
      <c r="AQ146" s="205"/>
      <c r="AR146" s="205"/>
      <c r="AS146" s="205"/>
      <c r="AT146" s="205"/>
      <c r="AU146" s="205"/>
      <c r="AV146" s="205"/>
      <c r="AW146" s="205"/>
      <c r="AX146" s="205"/>
      <c r="AY146" s="205"/>
      <c r="AZ146" s="205"/>
      <c r="BA146" s="205"/>
      <c r="BB146" s="205"/>
      <c r="BC146" s="205"/>
      <c r="BD146" s="205"/>
      <c r="BE146" s="205"/>
      <c r="BF146" s="205"/>
      <c r="BG146" s="205"/>
      <c r="BH146" s="205"/>
      <c r="BI146" s="205"/>
      <c r="BJ146" s="205"/>
      <c r="BK146" s="205"/>
      <c r="BL146" s="205"/>
      <c r="BM146" s="205"/>
      <c r="BN146" s="205"/>
      <c r="BO146" s="205"/>
      <c r="BP146" s="205"/>
      <c r="BQ146" s="205"/>
      <c r="BR146" s="205"/>
    </row>
    <row r="147" spans="1:70" s="203" customFormat="1" ht="15" thickTop="1" x14ac:dyDescent="0.3">
      <c r="A147" s="593" t="s">
        <v>247</v>
      </c>
      <c r="B147" s="998"/>
      <c r="C147" s="998"/>
      <c r="D147" s="1005"/>
      <c r="E147" s="775"/>
      <c r="F147" s="775"/>
      <c r="G147" s="1011"/>
      <c r="I147" s="28"/>
      <c r="J147" s="29"/>
      <c r="K147" s="29"/>
      <c r="R147" s="205"/>
      <c r="S147" s="205"/>
      <c r="T147" s="205"/>
      <c r="U147" s="205"/>
      <c r="V147" s="205"/>
      <c r="W147" s="205"/>
      <c r="X147" s="205"/>
      <c r="Y147" s="205"/>
      <c r="Z147" s="205"/>
      <c r="AA147" s="205"/>
      <c r="AB147" s="205"/>
      <c r="AC147" s="205"/>
      <c r="AD147" s="205"/>
      <c r="AE147" s="205"/>
      <c r="AF147" s="205"/>
      <c r="AG147" s="205"/>
      <c r="AH147" s="205"/>
      <c r="AI147" s="205"/>
      <c r="AJ147" s="205"/>
      <c r="AK147" s="205"/>
      <c r="AL147" s="205"/>
      <c r="AM147" s="205"/>
      <c r="AN147" s="205"/>
      <c r="AO147" s="205"/>
      <c r="AP147" s="205"/>
      <c r="AQ147" s="205"/>
      <c r="AR147" s="205"/>
      <c r="AS147" s="205"/>
      <c r="AT147" s="205"/>
      <c r="AU147" s="205"/>
      <c r="AV147" s="205"/>
      <c r="AW147" s="205"/>
      <c r="AX147" s="205"/>
      <c r="AY147" s="205"/>
      <c r="AZ147" s="205"/>
      <c r="BA147" s="205"/>
      <c r="BB147" s="205"/>
      <c r="BC147" s="205"/>
      <c r="BD147" s="205"/>
      <c r="BE147" s="205"/>
      <c r="BF147" s="205"/>
      <c r="BG147" s="205"/>
      <c r="BH147" s="205"/>
      <c r="BI147" s="205"/>
      <c r="BJ147" s="205"/>
      <c r="BK147" s="205"/>
      <c r="BL147" s="205"/>
      <c r="BM147" s="205"/>
      <c r="BN147" s="205"/>
      <c r="BO147" s="205"/>
      <c r="BP147" s="205"/>
      <c r="BQ147" s="205"/>
      <c r="BR147" s="205"/>
    </row>
    <row r="148" spans="1:70" s="203" customFormat="1" x14ac:dyDescent="0.3">
      <c r="A148" s="593" t="s">
        <v>248</v>
      </c>
      <c r="B148" s="998"/>
      <c r="C148" s="998"/>
      <c r="D148" s="1005"/>
      <c r="E148" s="775"/>
      <c r="F148" s="775"/>
      <c r="G148" s="1011"/>
      <c r="I148" s="28"/>
      <c r="J148" s="29"/>
      <c r="K148" s="29"/>
      <c r="R148" s="205"/>
      <c r="S148" s="205"/>
      <c r="T148" s="205"/>
      <c r="U148" s="205"/>
      <c r="V148" s="205"/>
      <c r="W148" s="205"/>
      <c r="X148" s="205"/>
      <c r="Y148" s="205"/>
      <c r="Z148" s="205"/>
      <c r="AA148" s="205"/>
      <c r="AB148" s="205"/>
      <c r="AC148" s="205"/>
      <c r="AD148" s="205"/>
      <c r="AE148" s="205"/>
      <c r="AF148" s="205"/>
      <c r="AG148" s="205"/>
      <c r="AH148" s="205"/>
      <c r="AI148" s="205"/>
      <c r="AJ148" s="205"/>
      <c r="AK148" s="205"/>
      <c r="AL148" s="205"/>
      <c r="AM148" s="205"/>
      <c r="AN148" s="205"/>
      <c r="AO148" s="205"/>
      <c r="AP148" s="205"/>
      <c r="AQ148" s="205"/>
      <c r="AR148" s="205"/>
      <c r="AS148" s="205"/>
      <c r="AT148" s="205"/>
      <c r="AU148" s="205"/>
      <c r="AV148" s="205"/>
      <c r="AW148" s="205"/>
      <c r="AX148" s="205"/>
      <c r="AY148" s="205"/>
      <c r="AZ148" s="205"/>
      <c r="BA148" s="205"/>
      <c r="BB148" s="205"/>
      <c r="BC148" s="205"/>
      <c r="BD148" s="205"/>
      <c r="BE148" s="205"/>
      <c r="BF148" s="205"/>
      <c r="BG148" s="205"/>
      <c r="BH148" s="205"/>
      <c r="BI148" s="205"/>
      <c r="BJ148" s="205"/>
      <c r="BK148" s="205"/>
      <c r="BL148" s="205"/>
      <c r="BM148" s="205"/>
      <c r="BN148" s="205"/>
      <c r="BO148" s="205"/>
      <c r="BP148" s="205"/>
      <c r="BQ148" s="205"/>
      <c r="BR148" s="205"/>
    </row>
    <row r="149" spans="1:70" s="203" customFormat="1" x14ac:dyDescent="0.3">
      <c r="A149" s="593" t="s">
        <v>259</v>
      </c>
      <c r="B149" s="1001"/>
      <c r="C149" s="600">
        <v>0</v>
      </c>
      <c r="D149" s="774"/>
      <c r="E149" s="774"/>
      <c r="F149" s="774"/>
      <c r="G149" s="1011"/>
      <c r="I149" s="26"/>
      <c r="R149" s="205"/>
      <c r="S149" s="205"/>
      <c r="T149" s="205"/>
      <c r="U149" s="205"/>
      <c r="V149" s="205"/>
      <c r="W149" s="205"/>
      <c r="X149" s="205"/>
      <c r="Y149" s="205"/>
      <c r="Z149" s="205"/>
      <c r="AA149" s="205"/>
      <c r="AB149" s="205"/>
      <c r="AC149" s="205"/>
      <c r="AD149" s="205"/>
      <c r="AE149" s="205"/>
      <c r="AF149" s="205"/>
      <c r="AG149" s="205"/>
      <c r="AH149" s="205"/>
      <c r="AI149" s="205"/>
      <c r="AJ149" s="205"/>
      <c r="AK149" s="205"/>
      <c r="AL149" s="205"/>
      <c r="AM149" s="205"/>
      <c r="AN149" s="205"/>
      <c r="AO149" s="205"/>
      <c r="AP149" s="205"/>
      <c r="AQ149" s="205"/>
      <c r="AR149" s="205"/>
      <c r="AS149" s="205"/>
      <c r="AT149" s="205"/>
      <c r="AU149" s="205"/>
      <c r="AV149" s="205"/>
      <c r="AW149" s="205"/>
      <c r="AX149" s="205"/>
      <c r="AY149" s="205"/>
      <c r="AZ149" s="205"/>
      <c r="BA149" s="205"/>
      <c r="BB149" s="205"/>
      <c r="BC149" s="205"/>
      <c r="BD149" s="205"/>
      <c r="BE149" s="205"/>
      <c r="BF149" s="205"/>
      <c r="BG149" s="205"/>
      <c r="BH149" s="205"/>
      <c r="BI149" s="205"/>
      <c r="BJ149" s="205"/>
      <c r="BK149" s="205"/>
      <c r="BL149" s="205"/>
      <c r="BM149" s="205"/>
      <c r="BN149" s="205"/>
      <c r="BO149" s="205"/>
      <c r="BP149" s="205"/>
      <c r="BQ149" s="205"/>
      <c r="BR149" s="205"/>
    </row>
    <row r="150" spans="1:70" s="203" customFormat="1" x14ac:dyDescent="0.3">
      <c r="A150" s="593"/>
      <c r="B150" s="998"/>
      <c r="C150" s="1000"/>
      <c r="D150" s="774"/>
      <c r="E150" s="774"/>
      <c r="F150" s="774"/>
      <c r="G150" s="1011"/>
      <c r="I150" s="26"/>
      <c r="R150" s="205"/>
      <c r="S150" s="205"/>
      <c r="T150" s="205"/>
      <c r="U150" s="205"/>
      <c r="V150" s="205"/>
      <c r="W150" s="205"/>
      <c r="X150" s="205"/>
      <c r="Y150" s="205"/>
      <c r="Z150" s="205"/>
      <c r="AA150" s="205"/>
      <c r="AB150" s="205"/>
      <c r="AC150" s="205"/>
      <c r="AD150" s="205"/>
      <c r="AE150" s="205"/>
      <c r="AF150" s="205"/>
      <c r="AG150" s="205"/>
      <c r="AH150" s="205"/>
      <c r="AI150" s="205"/>
      <c r="AJ150" s="205"/>
      <c r="AK150" s="205"/>
      <c r="AL150" s="205"/>
      <c r="AM150" s="205"/>
      <c r="AN150" s="205"/>
      <c r="AO150" s="205"/>
      <c r="AP150" s="205"/>
      <c r="AQ150" s="205"/>
      <c r="AR150" s="205"/>
      <c r="AS150" s="205"/>
      <c r="AT150" s="205"/>
      <c r="AU150" s="205"/>
      <c r="AV150" s="205"/>
      <c r="AW150" s="205"/>
      <c r="AX150" s="205"/>
      <c r="AY150" s="205"/>
      <c r="AZ150" s="205"/>
      <c r="BA150" s="205"/>
      <c r="BB150" s="205"/>
      <c r="BC150" s="205"/>
      <c r="BD150" s="205"/>
      <c r="BE150" s="205"/>
      <c r="BF150" s="205"/>
      <c r="BG150" s="205"/>
      <c r="BH150" s="205"/>
      <c r="BI150" s="205"/>
      <c r="BJ150" s="205"/>
      <c r="BK150" s="205"/>
      <c r="BL150" s="205"/>
      <c r="BM150" s="205"/>
      <c r="BN150" s="205"/>
      <c r="BO150" s="205"/>
      <c r="BP150" s="205"/>
      <c r="BQ150" s="205"/>
      <c r="BR150" s="205"/>
    </row>
    <row r="151" spans="1:70" s="206" customFormat="1" ht="15" customHeight="1" x14ac:dyDescent="0.3">
      <c r="A151" s="1003" t="s">
        <v>245</v>
      </c>
      <c r="B151" s="1001"/>
      <c r="C151" s="1014"/>
      <c r="D151" s="1001"/>
      <c r="E151" s="1001"/>
      <c r="F151" s="1001"/>
      <c r="G151" s="1011"/>
    </row>
    <row r="152" spans="1:70" s="206" customFormat="1" x14ac:dyDescent="0.3">
      <c r="A152" s="1004" t="s">
        <v>91</v>
      </c>
      <c r="B152" s="596"/>
      <c r="C152" s="1007">
        <f>$B$4*C143/12</f>
        <v>0</v>
      </c>
      <c r="D152" s="596"/>
      <c r="E152" s="596"/>
      <c r="F152" s="596"/>
      <c r="G152" s="1011"/>
      <c r="H152" s="32"/>
    </row>
    <row r="153" spans="1:70" s="206" customFormat="1" x14ac:dyDescent="0.3">
      <c r="A153" s="596" t="s">
        <v>92</v>
      </c>
      <c r="B153" s="596"/>
      <c r="C153" s="1007">
        <f>$B$5*C143/12</f>
        <v>0</v>
      </c>
      <c r="D153" s="1006"/>
      <c r="E153" s="596"/>
      <c r="F153" s="596"/>
      <c r="G153" s="1011"/>
      <c r="H153" s="33"/>
    </row>
    <row r="154" spans="1:70" s="206" customFormat="1" x14ac:dyDescent="0.3">
      <c r="A154" s="596" t="s">
        <v>107</v>
      </c>
      <c r="B154" s="596"/>
      <c r="C154" s="1008">
        <f>IF(C146="Yes", B180, C149)</f>
        <v>0</v>
      </c>
      <c r="D154" s="596"/>
      <c r="E154" s="596"/>
      <c r="F154" s="596"/>
      <c r="G154" s="1011"/>
      <c r="H154" s="31"/>
    </row>
    <row r="155" spans="1:70" s="206" customFormat="1" x14ac:dyDescent="0.3">
      <c r="A155" s="596" t="s">
        <v>95</v>
      </c>
      <c r="B155" s="596"/>
      <c r="C155" s="1007">
        <f>SUM(C152:C154)</f>
        <v>0</v>
      </c>
      <c r="D155" s="596"/>
      <c r="E155" s="596"/>
      <c r="F155" s="596"/>
      <c r="G155" s="1011"/>
      <c r="H155" s="203"/>
    </row>
    <row r="156" spans="1:70" s="206" customFormat="1" x14ac:dyDescent="0.3">
      <c r="A156" s="596"/>
      <c r="B156" s="596"/>
      <c r="C156" s="1002"/>
      <c r="D156" s="596"/>
      <c r="E156" s="596"/>
      <c r="F156" s="596"/>
      <c r="G156" s="1011"/>
      <c r="H156" s="203"/>
    </row>
    <row r="157" spans="1:70" s="203" customFormat="1" x14ac:dyDescent="0.3">
      <c r="A157" s="1538" t="s">
        <v>251</v>
      </c>
      <c r="B157" s="1538"/>
      <c r="C157" s="1538"/>
      <c r="D157" s="1538"/>
      <c r="E157" s="1538"/>
      <c r="F157" s="1538"/>
      <c r="G157" s="1011"/>
      <c r="I157" s="26"/>
      <c r="R157" s="205"/>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5"/>
      <c r="AN157" s="205"/>
      <c r="AO157" s="205"/>
      <c r="AP157" s="205"/>
      <c r="AQ157" s="205"/>
      <c r="AR157" s="205"/>
      <c r="AS157" s="205"/>
      <c r="AT157" s="205"/>
      <c r="AU157" s="205"/>
      <c r="AV157" s="205"/>
      <c r="AW157" s="205"/>
      <c r="AX157" s="205"/>
      <c r="AY157" s="205"/>
      <c r="AZ157" s="205"/>
      <c r="BA157" s="205"/>
      <c r="BB157" s="205"/>
      <c r="BC157" s="205"/>
      <c r="BD157" s="205"/>
      <c r="BE157" s="205"/>
      <c r="BF157" s="205"/>
      <c r="BG157" s="205"/>
      <c r="BH157" s="205"/>
      <c r="BI157" s="205"/>
      <c r="BJ157" s="205"/>
      <c r="BK157" s="205"/>
      <c r="BL157" s="205"/>
      <c r="BM157" s="205"/>
      <c r="BN157" s="205"/>
      <c r="BO157" s="205"/>
      <c r="BP157" s="205"/>
      <c r="BQ157" s="205"/>
      <c r="BR157" s="205"/>
    </row>
    <row r="158" spans="1:70" s="206" customFormat="1" x14ac:dyDescent="0.3">
      <c r="A158" s="1009" t="s">
        <v>91</v>
      </c>
      <c r="B158" s="596"/>
      <c r="C158" s="1010">
        <f>C137+C152</f>
        <v>0</v>
      </c>
      <c r="D158" s="1011"/>
      <c r="E158" s="1011"/>
      <c r="F158" s="1011"/>
      <c r="G158" s="1011"/>
      <c r="H158" s="32"/>
    </row>
    <row r="159" spans="1:70" s="206" customFormat="1" x14ac:dyDescent="0.3">
      <c r="A159" s="1011" t="s">
        <v>92</v>
      </c>
      <c r="B159" s="596"/>
      <c r="C159" s="1010">
        <f>C138+C153</f>
        <v>0</v>
      </c>
      <c r="D159" s="1012"/>
      <c r="E159" s="1011"/>
      <c r="F159" s="1011"/>
      <c r="G159" s="1011"/>
      <c r="H159" s="33"/>
    </row>
    <row r="160" spans="1:70" s="206" customFormat="1" x14ac:dyDescent="0.3">
      <c r="A160" s="1011" t="s">
        <v>107</v>
      </c>
      <c r="B160" s="596"/>
      <c r="C160" s="1013">
        <f>C139+C154</f>
        <v>0</v>
      </c>
      <c r="D160" s="1011"/>
      <c r="E160" s="1011"/>
      <c r="F160" s="1011"/>
      <c r="G160" s="1011"/>
      <c r="H160" s="31"/>
    </row>
    <row r="161" spans="1:70" s="206" customFormat="1" x14ac:dyDescent="0.3">
      <c r="A161" s="1011" t="s">
        <v>95</v>
      </c>
      <c r="B161" s="596"/>
      <c r="C161" s="1010">
        <f>SUM(C158:C160)</f>
        <v>0</v>
      </c>
      <c r="D161" s="1011"/>
      <c r="E161" s="1011"/>
      <c r="F161" s="1011"/>
      <c r="G161" s="1011"/>
      <c r="H161" s="203"/>
    </row>
    <row r="162" spans="1:70" s="203" customFormat="1" x14ac:dyDescent="0.3">
      <c r="A162" s="1546" t="s">
        <v>633</v>
      </c>
      <c r="B162" s="1546"/>
      <c r="C162" s="1546"/>
      <c r="D162" s="1546"/>
      <c r="E162" s="1546"/>
      <c r="F162" s="1546"/>
      <c r="G162" s="1011"/>
      <c r="I162" s="28"/>
      <c r="J162" s="29"/>
      <c r="K162" s="29"/>
      <c r="R162" s="205"/>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c r="AP162" s="205"/>
      <c r="AQ162" s="205"/>
      <c r="AR162" s="205"/>
      <c r="AS162" s="205"/>
      <c r="AT162" s="205"/>
      <c r="AU162" s="205"/>
      <c r="AV162" s="205"/>
      <c r="AW162" s="205"/>
      <c r="AX162" s="205"/>
      <c r="AY162" s="205"/>
      <c r="AZ162" s="205"/>
      <c r="BA162" s="205"/>
      <c r="BB162" s="205"/>
      <c r="BC162" s="205"/>
      <c r="BD162" s="205"/>
      <c r="BE162" s="205"/>
      <c r="BF162" s="205"/>
      <c r="BG162" s="205"/>
      <c r="BH162" s="205"/>
      <c r="BI162" s="205"/>
      <c r="BJ162" s="205"/>
      <c r="BK162" s="205"/>
      <c r="BL162" s="205"/>
      <c r="BM162" s="205"/>
      <c r="BN162" s="205"/>
      <c r="BO162" s="205"/>
      <c r="BP162" s="205"/>
      <c r="BQ162" s="205"/>
      <c r="BR162" s="205"/>
    </row>
    <row r="163" spans="1:70" s="203" customFormat="1" hidden="1" x14ac:dyDescent="0.3">
      <c r="A163" s="788" t="s">
        <v>252</v>
      </c>
      <c r="B163" s="786"/>
      <c r="C163" s="786"/>
      <c r="D163" s="786"/>
      <c r="E163" s="786"/>
      <c r="F163" s="786"/>
      <c r="G163" s="1011"/>
      <c r="R163" s="205"/>
      <c r="S163" s="205"/>
      <c r="T163" s="205"/>
      <c r="U163" s="205"/>
      <c r="V163" s="205"/>
      <c r="W163" s="205"/>
      <c r="X163" s="205"/>
      <c r="Y163" s="205"/>
      <c r="Z163" s="205"/>
      <c r="AA163" s="205"/>
      <c r="AB163" s="205"/>
      <c r="AC163" s="205"/>
      <c r="AD163" s="205"/>
      <c r="AE163" s="205"/>
      <c r="AF163" s="205"/>
      <c r="AG163" s="205"/>
      <c r="AH163" s="205"/>
      <c r="AI163" s="205"/>
      <c r="AJ163" s="205"/>
      <c r="AK163" s="205"/>
      <c r="AL163" s="205"/>
      <c r="AM163" s="205"/>
      <c r="AN163" s="205"/>
      <c r="AO163" s="205"/>
      <c r="AP163" s="205"/>
      <c r="AQ163" s="205"/>
      <c r="AR163" s="205"/>
      <c r="AS163" s="205"/>
      <c r="AT163" s="205"/>
      <c r="AU163" s="205"/>
      <c r="AV163" s="205"/>
      <c r="AW163" s="205"/>
      <c r="AX163" s="205"/>
      <c r="AY163" s="205"/>
      <c r="AZ163" s="205"/>
      <c r="BA163" s="205"/>
      <c r="BB163" s="205"/>
      <c r="BC163" s="205"/>
      <c r="BD163" s="205"/>
      <c r="BE163" s="205"/>
      <c r="BF163" s="205"/>
      <c r="BG163" s="205"/>
      <c r="BH163" s="205"/>
      <c r="BI163" s="205"/>
      <c r="BJ163" s="205"/>
      <c r="BK163" s="205"/>
      <c r="BL163" s="205"/>
      <c r="BM163" s="205"/>
      <c r="BN163" s="205"/>
      <c r="BO163" s="205"/>
      <c r="BP163" s="205"/>
      <c r="BQ163" s="205"/>
      <c r="BR163" s="205"/>
    </row>
    <row r="164" spans="1:70" s="203" customFormat="1" hidden="1" x14ac:dyDescent="0.3">
      <c r="A164" s="788" t="s">
        <v>109</v>
      </c>
      <c r="B164" s="786"/>
      <c r="C164" s="786"/>
      <c r="D164" s="786"/>
      <c r="E164" s="786"/>
      <c r="F164" s="786"/>
      <c r="G164" s="1011"/>
      <c r="R164" s="205"/>
      <c r="S164" s="205"/>
      <c r="T164" s="205"/>
      <c r="U164" s="205"/>
      <c r="V164" s="205"/>
      <c r="W164" s="205"/>
      <c r="X164" s="205"/>
      <c r="Y164" s="205"/>
      <c r="Z164" s="205"/>
      <c r="AA164" s="205"/>
      <c r="AB164" s="205"/>
      <c r="AC164" s="205"/>
      <c r="AD164" s="205"/>
      <c r="AE164" s="205"/>
      <c r="AF164" s="205"/>
      <c r="AG164" s="205"/>
      <c r="AH164" s="205"/>
      <c r="AI164" s="205"/>
      <c r="AJ164" s="205"/>
      <c r="AK164" s="205"/>
      <c r="AL164" s="205"/>
      <c r="AM164" s="205"/>
      <c r="AN164" s="205"/>
      <c r="AO164" s="205"/>
      <c r="AP164" s="205"/>
      <c r="AQ164" s="205"/>
      <c r="AR164" s="205"/>
      <c r="AS164" s="205"/>
      <c r="AT164" s="205"/>
      <c r="AU164" s="205"/>
      <c r="AV164" s="205"/>
      <c r="AW164" s="205"/>
      <c r="AX164" s="205"/>
      <c r="AY164" s="205"/>
      <c r="AZ164" s="205"/>
      <c r="BA164" s="205"/>
      <c r="BB164" s="205"/>
      <c r="BC164" s="205"/>
      <c r="BD164" s="205"/>
      <c r="BE164" s="205"/>
      <c r="BF164" s="205"/>
      <c r="BG164" s="205"/>
      <c r="BH164" s="205"/>
      <c r="BI164" s="205"/>
      <c r="BJ164" s="205"/>
      <c r="BK164" s="205"/>
      <c r="BL164" s="205"/>
      <c r="BM164" s="205"/>
      <c r="BN164" s="205"/>
      <c r="BO164" s="205"/>
      <c r="BP164" s="205"/>
      <c r="BQ164" s="205"/>
      <c r="BR164" s="205"/>
    </row>
    <row r="165" spans="1:70" s="203" customFormat="1" hidden="1" x14ac:dyDescent="0.3">
      <c r="A165" s="789" t="s">
        <v>79</v>
      </c>
      <c r="B165" s="790">
        <f>C137</f>
        <v>0</v>
      </c>
      <c r="C165" s="786"/>
      <c r="D165" s="786"/>
      <c r="E165" s="786"/>
      <c r="F165" s="786"/>
      <c r="G165" s="1011"/>
      <c r="R165" s="205"/>
      <c r="S165" s="205"/>
      <c r="T165" s="205"/>
      <c r="U165" s="205"/>
      <c r="V165" s="205"/>
      <c r="W165" s="205"/>
      <c r="X165" s="205"/>
      <c r="Y165" s="205"/>
      <c r="Z165" s="205"/>
      <c r="AA165" s="205"/>
      <c r="AB165" s="205"/>
      <c r="AC165" s="205"/>
      <c r="AD165" s="205"/>
      <c r="AE165" s="205"/>
      <c r="AF165" s="205"/>
      <c r="AG165" s="205"/>
      <c r="AH165" s="205"/>
      <c r="AI165" s="205"/>
      <c r="AJ165" s="205"/>
      <c r="AK165" s="205"/>
      <c r="AL165" s="205"/>
      <c r="AM165" s="205"/>
      <c r="AN165" s="205"/>
      <c r="AO165" s="205"/>
      <c r="AP165" s="205"/>
      <c r="AQ165" s="205"/>
      <c r="AR165" s="205"/>
      <c r="AS165" s="205"/>
      <c r="AT165" s="205"/>
      <c r="AU165" s="205"/>
      <c r="AV165" s="205"/>
      <c r="AW165" s="205"/>
      <c r="AX165" s="205"/>
      <c r="AY165" s="205"/>
      <c r="AZ165" s="205"/>
      <c r="BA165" s="205"/>
      <c r="BB165" s="205"/>
      <c r="BC165" s="205"/>
      <c r="BD165" s="205"/>
      <c r="BE165" s="205"/>
      <c r="BF165" s="205"/>
      <c r="BG165" s="205"/>
      <c r="BH165" s="205"/>
      <c r="BI165" s="205"/>
      <c r="BJ165" s="205"/>
      <c r="BK165" s="205"/>
      <c r="BL165" s="205"/>
      <c r="BM165" s="205"/>
      <c r="BN165" s="205"/>
      <c r="BO165" s="205"/>
      <c r="BP165" s="205"/>
      <c r="BQ165" s="205"/>
      <c r="BR165" s="205"/>
    </row>
    <row r="166" spans="1:70" s="203" customFormat="1" hidden="1" x14ac:dyDescent="0.3">
      <c r="A166" s="789" t="s">
        <v>78</v>
      </c>
      <c r="B166" s="790">
        <f>C138</f>
        <v>0</v>
      </c>
      <c r="C166" s="786"/>
      <c r="D166" s="786"/>
      <c r="E166" s="786"/>
      <c r="F166" s="786"/>
      <c r="G166" s="1011"/>
      <c r="R166" s="205"/>
      <c r="S166" s="205"/>
      <c r="T166" s="205"/>
      <c r="U166" s="205"/>
      <c r="V166" s="205"/>
      <c r="W166" s="205"/>
      <c r="X166" s="205"/>
      <c r="Y166" s="205"/>
      <c r="Z166" s="205"/>
      <c r="AA166" s="205"/>
      <c r="AB166" s="205"/>
      <c r="AC166" s="205"/>
      <c r="AD166" s="205"/>
      <c r="AE166" s="205"/>
      <c r="AF166" s="205"/>
      <c r="AG166" s="205"/>
      <c r="AH166" s="205"/>
      <c r="AI166" s="205"/>
      <c r="AJ166" s="205"/>
      <c r="AK166" s="205"/>
      <c r="AL166" s="205"/>
      <c r="AM166" s="205"/>
      <c r="AN166" s="205"/>
      <c r="AO166" s="205"/>
      <c r="AP166" s="205"/>
      <c r="AQ166" s="205"/>
      <c r="AR166" s="205"/>
      <c r="AS166" s="205"/>
      <c r="AT166" s="205"/>
      <c r="AU166" s="205"/>
      <c r="AV166" s="205"/>
      <c r="AW166" s="205"/>
      <c r="AX166" s="205"/>
      <c r="AY166" s="205"/>
      <c r="AZ166" s="205"/>
      <c r="BA166" s="205"/>
      <c r="BB166" s="205"/>
      <c r="BC166" s="205"/>
      <c r="BD166" s="205"/>
      <c r="BE166" s="205"/>
      <c r="BF166" s="205"/>
      <c r="BG166" s="205"/>
      <c r="BH166" s="205"/>
      <c r="BI166" s="205"/>
      <c r="BJ166" s="205"/>
      <c r="BK166" s="205"/>
      <c r="BL166" s="205"/>
      <c r="BM166" s="205"/>
      <c r="BN166" s="205"/>
      <c r="BO166" s="205"/>
      <c r="BP166" s="205"/>
      <c r="BQ166" s="205"/>
      <c r="BR166" s="205"/>
    </row>
    <row r="167" spans="1:70" s="203" customFormat="1" hidden="1" x14ac:dyDescent="0.3">
      <c r="A167" s="786" t="s">
        <v>4</v>
      </c>
      <c r="B167" s="790">
        <f>SUM(B165:B166)</f>
        <v>0</v>
      </c>
      <c r="C167" s="786"/>
      <c r="D167" s="786"/>
      <c r="E167" s="786"/>
      <c r="F167" s="786"/>
      <c r="G167" s="1011"/>
      <c r="R167" s="205"/>
      <c r="S167" s="205"/>
      <c r="T167" s="205"/>
      <c r="U167" s="205"/>
      <c r="V167" s="205"/>
      <c r="W167" s="205"/>
      <c r="X167" s="205"/>
      <c r="Y167" s="205"/>
      <c r="Z167" s="205"/>
      <c r="AA167" s="205"/>
      <c r="AB167" s="205"/>
      <c r="AC167" s="205"/>
      <c r="AD167" s="205"/>
      <c r="AE167" s="205"/>
      <c r="AF167" s="205"/>
      <c r="AG167" s="205"/>
      <c r="AH167" s="205"/>
      <c r="AI167" s="205"/>
      <c r="AJ167" s="205"/>
      <c r="AK167" s="205"/>
      <c r="AL167" s="205"/>
      <c r="AM167" s="205"/>
      <c r="AN167" s="205"/>
      <c r="AO167" s="205"/>
      <c r="AP167" s="205"/>
      <c r="AQ167" s="205"/>
      <c r="AR167" s="205"/>
      <c r="AS167" s="205"/>
      <c r="AT167" s="205"/>
      <c r="AU167" s="205"/>
      <c r="AV167" s="205"/>
      <c r="AW167" s="205"/>
      <c r="AX167" s="205"/>
      <c r="AY167" s="205"/>
      <c r="AZ167" s="205"/>
      <c r="BA167" s="205"/>
      <c r="BB167" s="205"/>
      <c r="BC167" s="205"/>
      <c r="BD167" s="205"/>
      <c r="BE167" s="205"/>
      <c r="BF167" s="205"/>
      <c r="BG167" s="205"/>
      <c r="BH167" s="205"/>
      <c r="BI167" s="205"/>
      <c r="BJ167" s="205"/>
      <c r="BK167" s="205"/>
      <c r="BL167" s="205"/>
      <c r="BM167" s="205"/>
      <c r="BN167" s="205"/>
      <c r="BO167" s="205"/>
      <c r="BP167" s="205"/>
      <c r="BQ167" s="205"/>
      <c r="BR167" s="205"/>
    </row>
    <row r="168" spans="1:70" s="203" customFormat="1" hidden="1" x14ac:dyDescent="0.3">
      <c r="A168" s="786"/>
      <c r="B168" s="786"/>
      <c r="C168" s="786"/>
      <c r="D168" s="786"/>
      <c r="E168" s="786"/>
      <c r="F168" s="786"/>
      <c r="G168" s="1011"/>
      <c r="R168" s="205"/>
      <c r="S168" s="205"/>
      <c r="T168" s="205"/>
      <c r="U168" s="205"/>
      <c r="V168" s="205"/>
      <c r="W168" s="205"/>
      <c r="X168" s="205"/>
      <c r="Y168" s="205"/>
      <c r="Z168" s="205"/>
      <c r="AA168" s="205"/>
      <c r="AB168" s="205"/>
      <c r="AC168" s="205"/>
      <c r="AD168" s="205"/>
      <c r="AE168" s="205"/>
      <c r="AF168" s="205"/>
      <c r="AG168" s="205"/>
      <c r="AH168" s="205"/>
      <c r="AI168" s="205"/>
      <c r="AJ168" s="205"/>
      <c r="AK168" s="205"/>
      <c r="AL168" s="205"/>
      <c r="AM168" s="205"/>
      <c r="AN168" s="205"/>
      <c r="AO168" s="205"/>
      <c r="AP168" s="205"/>
      <c r="AQ168" s="205"/>
      <c r="AR168" s="205"/>
      <c r="AS168" s="205"/>
      <c r="AT168" s="205"/>
      <c r="AU168" s="205"/>
      <c r="AV168" s="205"/>
      <c r="AW168" s="205"/>
      <c r="AX168" s="205"/>
      <c r="AY168" s="205"/>
      <c r="AZ168" s="205"/>
      <c r="BA168" s="205"/>
      <c r="BB168" s="205"/>
      <c r="BC168" s="205"/>
      <c r="BD168" s="205"/>
      <c r="BE168" s="205"/>
      <c r="BF168" s="205"/>
      <c r="BG168" s="205"/>
      <c r="BH168" s="205"/>
      <c r="BI168" s="205"/>
      <c r="BJ168" s="205"/>
      <c r="BK168" s="205"/>
      <c r="BL168" s="205"/>
      <c r="BM168" s="205"/>
      <c r="BN168" s="205"/>
      <c r="BO168" s="205"/>
      <c r="BP168" s="205"/>
      <c r="BQ168" s="205"/>
      <c r="BR168" s="205"/>
    </row>
    <row r="169" spans="1:70" s="203" customFormat="1" hidden="1" x14ac:dyDescent="0.3">
      <c r="A169" s="786" t="s">
        <v>89</v>
      </c>
      <c r="B169" s="790">
        <f>$B$7*C128/12</f>
        <v>0</v>
      </c>
      <c r="C169" s="786"/>
      <c r="D169" s="786"/>
      <c r="E169" s="786"/>
      <c r="F169" s="786"/>
      <c r="G169" s="1011"/>
      <c r="R169" s="205"/>
      <c r="S169" s="205"/>
      <c r="T169" s="205"/>
      <c r="U169" s="205"/>
      <c r="V169" s="205"/>
      <c r="W169" s="205"/>
      <c r="X169" s="205"/>
      <c r="Y169" s="205"/>
      <c r="Z169" s="205"/>
      <c r="AA169" s="205"/>
      <c r="AB169" s="205"/>
      <c r="AC169" s="205"/>
      <c r="AD169" s="205"/>
      <c r="AE169" s="205"/>
      <c r="AF169" s="205"/>
      <c r="AG169" s="205"/>
      <c r="AH169" s="205"/>
      <c r="AI169" s="205"/>
      <c r="AJ169" s="205"/>
      <c r="AK169" s="205"/>
      <c r="AL169" s="205"/>
      <c r="AM169" s="205"/>
      <c r="AN169" s="205"/>
      <c r="AO169" s="205"/>
      <c r="AP169" s="205"/>
      <c r="AQ169" s="205"/>
      <c r="AR169" s="205"/>
      <c r="AS169" s="205"/>
      <c r="AT169" s="205"/>
      <c r="AU169" s="205"/>
      <c r="AV169" s="205"/>
      <c r="AW169" s="205"/>
      <c r="AX169" s="205"/>
      <c r="AY169" s="205"/>
      <c r="AZ169" s="205"/>
      <c r="BA169" s="205"/>
      <c r="BB169" s="205"/>
      <c r="BC169" s="205"/>
      <c r="BD169" s="205"/>
      <c r="BE169" s="205"/>
      <c r="BF169" s="205"/>
      <c r="BG169" s="205"/>
      <c r="BH169" s="205"/>
      <c r="BI169" s="205"/>
      <c r="BJ169" s="205"/>
      <c r="BK169" s="205"/>
      <c r="BL169" s="205"/>
      <c r="BM169" s="205"/>
      <c r="BN169" s="205"/>
      <c r="BO169" s="205"/>
      <c r="BP169" s="205"/>
      <c r="BQ169" s="205"/>
      <c r="BR169" s="205"/>
    </row>
    <row r="170" spans="1:70" s="203" customFormat="1" hidden="1" x14ac:dyDescent="0.3">
      <c r="A170" s="786"/>
      <c r="B170" s="786"/>
      <c r="C170" s="786"/>
      <c r="D170" s="786"/>
      <c r="E170" s="786"/>
      <c r="F170" s="786"/>
      <c r="G170" s="1011"/>
      <c r="R170" s="205"/>
      <c r="S170" s="205"/>
      <c r="T170" s="205"/>
      <c r="U170" s="205"/>
      <c r="V170" s="205"/>
      <c r="W170" s="205"/>
      <c r="X170" s="205"/>
      <c r="Y170" s="205"/>
      <c r="Z170" s="205"/>
      <c r="AA170" s="205"/>
      <c r="AB170" s="205"/>
      <c r="AC170" s="205"/>
      <c r="AD170" s="205"/>
      <c r="AE170" s="205"/>
      <c r="AF170" s="205"/>
      <c r="AG170" s="205"/>
      <c r="AH170" s="205"/>
      <c r="AI170" s="205"/>
      <c r="AJ170" s="205"/>
      <c r="AK170" s="205"/>
      <c r="AL170" s="205"/>
      <c r="AM170" s="205"/>
      <c r="AN170" s="205"/>
      <c r="AO170" s="205"/>
      <c r="AP170" s="205"/>
      <c r="AQ170" s="205"/>
      <c r="AR170" s="205"/>
      <c r="AS170" s="205"/>
      <c r="AT170" s="205"/>
      <c r="AU170" s="205"/>
      <c r="AV170" s="205"/>
      <c r="AW170" s="205"/>
      <c r="AX170" s="205"/>
      <c r="AY170" s="205"/>
      <c r="AZ170" s="205"/>
      <c r="BA170" s="205"/>
      <c r="BB170" s="205"/>
      <c r="BC170" s="205"/>
      <c r="BD170" s="205"/>
      <c r="BE170" s="205"/>
      <c r="BF170" s="205"/>
      <c r="BG170" s="205"/>
      <c r="BH170" s="205"/>
      <c r="BI170" s="205"/>
      <c r="BJ170" s="205"/>
      <c r="BK170" s="205"/>
      <c r="BL170" s="205"/>
      <c r="BM170" s="205"/>
      <c r="BN170" s="205"/>
      <c r="BO170" s="205"/>
      <c r="BP170" s="205"/>
      <c r="BQ170" s="205"/>
      <c r="BR170" s="205"/>
    </row>
    <row r="171" spans="1:70" s="203" customFormat="1" hidden="1" x14ac:dyDescent="0.3">
      <c r="A171" s="786" t="s">
        <v>90</v>
      </c>
      <c r="B171" s="790">
        <f>B169-B167</f>
        <v>0</v>
      </c>
      <c r="C171" s="786"/>
      <c r="D171" s="786"/>
      <c r="E171" s="786"/>
      <c r="F171" s="786"/>
      <c r="G171" s="1011"/>
      <c r="R171" s="205"/>
      <c r="S171" s="205"/>
      <c r="T171" s="205"/>
      <c r="U171" s="205"/>
      <c r="V171" s="205"/>
      <c r="W171" s="205"/>
      <c r="X171" s="205"/>
      <c r="Y171" s="205"/>
      <c r="Z171" s="205"/>
      <c r="AA171" s="205"/>
      <c r="AB171" s="205"/>
      <c r="AC171" s="205"/>
      <c r="AD171" s="205"/>
      <c r="AE171" s="205"/>
      <c r="AF171" s="205"/>
      <c r="AG171" s="205"/>
      <c r="AH171" s="205"/>
      <c r="AI171" s="205"/>
      <c r="AJ171" s="205"/>
      <c r="AK171" s="205"/>
      <c r="AL171" s="205"/>
      <c r="AM171" s="205"/>
      <c r="AN171" s="205"/>
      <c r="AO171" s="205"/>
      <c r="AP171" s="205"/>
      <c r="AQ171" s="205"/>
      <c r="AR171" s="205"/>
      <c r="AS171" s="205"/>
      <c r="AT171" s="205"/>
      <c r="AU171" s="205"/>
      <c r="AV171" s="205"/>
      <c r="AW171" s="205"/>
      <c r="AX171" s="205"/>
      <c r="AY171" s="205"/>
      <c r="AZ171" s="205"/>
      <c r="BA171" s="205"/>
      <c r="BB171" s="205"/>
      <c r="BC171" s="205"/>
      <c r="BD171" s="205"/>
      <c r="BE171" s="205"/>
      <c r="BF171" s="205"/>
      <c r="BG171" s="205"/>
      <c r="BH171" s="205"/>
      <c r="BI171" s="205"/>
      <c r="BJ171" s="205"/>
      <c r="BK171" s="205"/>
      <c r="BL171" s="205"/>
      <c r="BM171" s="205"/>
      <c r="BN171" s="205"/>
      <c r="BO171" s="205"/>
      <c r="BP171" s="205"/>
      <c r="BQ171" s="205"/>
      <c r="BR171" s="205"/>
    </row>
    <row r="172" spans="1:70" s="203" customFormat="1" hidden="1" x14ac:dyDescent="0.3">
      <c r="A172" s="786"/>
      <c r="B172" s="790"/>
      <c r="C172" s="786"/>
      <c r="D172" s="786"/>
      <c r="E172" s="786"/>
      <c r="F172" s="786"/>
      <c r="G172" s="1011"/>
      <c r="R172" s="205"/>
      <c r="S172" s="205"/>
      <c r="T172" s="205"/>
      <c r="U172" s="205"/>
      <c r="V172" s="205"/>
      <c r="W172" s="205"/>
      <c r="X172" s="205"/>
      <c r="Y172" s="205"/>
      <c r="Z172" s="205"/>
      <c r="AA172" s="205"/>
      <c r="AB172" s="205"/>
      <c r="AC172" s="205"/>
      <c r="AD172" s="205"/>
      <c r="AE172" s="205"/>
      <c r="AF172" s="205"/>
      <c r="AG172" s="205"/>
      <c r="AH172" s="205"/>
      <c r="AI172" s="205"/>
      <c r="AJ172" s="205"/>
      <c r="AK172" s="205"/>
      <c r="AL172" s="205"/>
      <c r="AM172" s="205"/>
      <c r="AN172" s="205"/>
      <c r="AO172" s="205"/>
      <c r="AP172" s="205"/>
      <c r="AQ172" s="205"/>
      <c r="AR172" s="205"/>
      <c r="AS172" s="205"/>
      <c r="AT172" s="205"/>
      <c r="AU172" s="205"/>
      <c r="AV172" s="205"/>
      <c r="AW172" s="205"/>
      <c r="AX172" s="205"/>
      <c r="AY172" s="205"/>
      <c r="AZ172" s="205"/>
      <c r="BA172" s="205"/>
      <c r="BB172" s="205"/>
      <c r="BC172" s="205"/>
      <c r="BD172" s="205"/>
      <c r="BE172" s="205"/>
      <c r="BF172" s="205"/>
      <c r="BG172" s="205"/>
      <c r="BH172" s="205"/>
      <c r="BI172" s="205"/>
      <c r="BJ172" s="205"/>
      <c r="BK172" s="205"/>
      <c r="BL172" s="205"/>
      <c r="BM172" s="205"/>
      <c r="BN172" s="205"/>
      <c r="BO172" s="205"/>
      <c r="BP172" s="205"/>
      <c r="BQ172" s="205"/>
      <c r="BR172" s="205"/>
    </row>
    <row r="173" spans="1:70" s="203" customFormat="1" hidden="1" x14ac:dyDescent="0.3">
      <c r="A173" s="788" t="s">
        <v>110</v>
      </c>
      <c r="B173" s="786"/>
      <c r="C173" s="786"/>
      <c r="D173" s="786"/>
      <c r="E173" s="786"/>
      <c r="F173" s="786"/>
      <c r="G173" s="1011"/>
      <c r="R173" s="205"/>
      <c r="S173" s="205"/>
      <c r="T173" s="205"/>
      <c r="U173" s="205"/>
      <c r="V173" s="205"/>
      <c r="W173" s="205"/>
      <c r="X173" s="205"/>
      <c r="Y173" s="205"/>
      <c r="Z173" s="205"/>
      <c r="AA173" s="205"/>
      <c r="AB173" s="205"/>
      <c r="AC173" s="205"/>
      <c r="AD173" s="205"/>
      <c r="AE173" s="205"/>
      <c r="AF173" s="205"/>
      <c r="AG173" s="205"/>
      <c r="AH173" s="205"/>
      <c r="AI173" s="205"/>
      <c r="AJ173" s="205"/>
      <c r="AK173" s="205"/>
      <c r="AL173" s="205"/>
      <c r="AM173" s="205"/>
      <c r="AN173" s="205"/>
      <c r="AO173" s="205"/>
      <c r="AP173" s="205"/>
      <c r="AQ173" s="205"/>
      <c r="AR173" s="205"/>
      <c r="AS173" s="205"/>
      <c r="AT173" s="205"/>
      <c r="AU173" s="205"/>
      <c r="AV173" s="205"/>
      <c r="AW173" s="205"/>
      <c r="AX173" s="205"/>
      <c r="AY173" s="205"/>
      <c r="AZ173" s="205"/>
      <c r="BA173" s="205"/>
      <c r="BB173" s="205"/>
      <c r="BC173" s="205"/>
      <c r="BD173" s="205"/>
      <c r="BE173" s="205"/>
      <c r="BF173" s="205"/>
      <c r="BG173" s="205"/>
      <c r="BH173" s="205"/>
      <c r="BI173" s="205"/>
      <c r="BJ173" s="205"/>
      <c r="BK173" s="205"/>
      <c r="BL173" s="205"/>
      <c r="BM173" s="205"/>
      <c r="BN173" s="205"/>
      <c r="BO173" s="205"/>
      <c r="BP173" s="205"/>
      <c r="BQ173" s="205"/>
      <c r="BR173" s="205"/>
    </row>
    <row r="174" spans="1:70" s="203" customFormat="1" hidden="1" x14ac:dyDescent="0.3">
      <c r="A174" s="789" t="s">
        <v>79</v>
      </c>
      <c r="B174" s="790">
        <f>C152</f>
        <v>0</v>
      </c>
      <c r="C174" s="786"/>
      <c r="D174" s="786"/>
      <c r="E174" s="786"/>
      <c r="F174" s="786"/>
      <c r="G174" s="1011"/>
      <c r="R174" s="205"/>
      <c r="S174" s="205"/>
      <c r="T174" s="205"/>
      <c r="U174" s="205"/>
      <c r="V174" s="205"/>
      <c r="W174" s="205"/>
      <c r="X174" s="205"/>
      <c r="Y174" s="205"/>
      <c r="Z174" s="205"/>
      <c r="AA174" s="205"/>
      <c r="AB174" s="205"/>
      <c r="AC174" s="205"/>
      <c r="AD174" s="205"/>
      <c r="AE174" s="205"/>
      <c r="AF174" s="205"/>
      <c r="AG174" s="205"/>
      <c r="AH174" s="205"/>
      <c r="AI174" s="205"/>
      <c r="AJ174" s="205"/>
      <c r="AK174" s="205"/>
      <c r="AL174" s="205"/>
      <c r="AM174" s="205"/>
      <c r="AN174" s="205"/>
      <c r="AO174" s="205"/>
      <c r="AP174" s="205"/>
      <c r="AQ174" s="205"/>
      <c r="AR174" s="205"/>
      <c r="AS174" s="205"/>
      <c r="AT174" s="205"/>
      <c r="AU174" s="205"/>
      <c r="AV174" s="205"/>
      <c r="AW174" s="205"/>
      <c r="AX174" s="205"/>
      <c r="AY174" s="205"/>
      <c r="AZ174" s="205"/>
      <c r="BA174" s="205"/>
      <c r="BB174" s="205"/>
      <c r="BC174" s="205"/>
      <c r="BD174" s="205"/>
      <c r="BE174" s="205"/>
      <c r="BF174" s="205"/>
      <c r="BG174" s="205"/>
      <c r="BH174" s="205"/>
      <c r="BI174" s="205"/>
      <c r="BJ174" s="205"/>
      <c r="BK174" s="205"/>
      <c r="BL174" s="205"/>
      <c r="BM174" s="205"/>
      <c r="BN174" s="205"/>
      <c r="BO174" s="205"/>
      <c r="BP174" s="205"/>
      <c r="BQ174" s="205"/>
      <c r="BR174" s="205"/>
    </row>
    <row r="175" spans="1:70" s="203" customFormat="1" hidden="1" x14ac:dyDescent="0.3">
      <c r="A175" s="789" t="s">
        <v>78</v>
      </c>
      <c r="B175" s="790">
        <f>C153</f>
        <v>0</v>
      </c>
      <c r="C175" s="786"/>
      <c r="D175" s="786"/>
      <c r="E175" s="786"/>
      <c r="F175" s="786"/>
      <c r="G175" s="1011"/>
      <c r="R175" s="205"/>
      <c r="S175" s="205"/>
      <c r="T175" s="205"/>
      <c r="U175" s="205"/>
      <c r="V175" s="205"/>
      <c r="W175" s="205"/>
      <c r="X175" s="205"/>
      <c r="Y175" s="205"/>
      <c r="Z175" s="205"/>
      <c r="AA175" s="205"/>
      <c r="AB175" s="205"/>
      <c r="AC175" s="205"/>
      <c r="AD175" s="205"/>
      <c r="AE175" s="205"/>
      <c r="AF175" s="205"/>
      <c r="AG175" s="205"/>
      <c r="AH175" s="205"/>
      <c r="AI175" s="205"/>
      <c r="AJ175" s="205"/>
      <c r="AK175" s="205"/>
      <c r="AL175" s="205"/>
      <c r="AM175" s="205"/>
      <c r="AN175" s="205"/>
      <c r="AO175" s="205"/>
      <c r="AP175" s="205"/>
      <c r="AQ175" s="205"/>
      <c r="AR175" s="205"/>
      <c r="AS175" s="205"/>
      <c r="AT175" s="205"/>
      <c r="AU175" s="205"/>
      <c r="AV175" s="205"/>
      <c r="AW175" s="205"/>
      <c r="AX175" s="205"/>
      <c r="AY175" s="205"/>
      <c r="AZ175" s="205"/>
      <c r="BA175" s="205"/>
      <c r="BB175" s="205"/>
      <c r="BC175" s="205"/>
      <c r="BD175" s="205"/>
      <c r="BE175" s="205"/>
      <c r="BF175" s="205"/>
      <c r="BG175" s="205"/>
      <c r="BH175" s="205"/>
      <c r="BI175" s="205"/>
      <c r="BJ175" s="205"/>
      <c r="BK175" s="205"/>
      <c r="BL175" s="205"/>
      <c r="BM175" s="205"/>
      <c r="BN175" s="205"/>
      <c r="BO175" s="205"/>
      <c r="BP175" s="205"/>
      <c r="BQ175" s="205"/>
      <c r="BR175" s="205"/>
    </row>
    <row r="176" spans="1:70" s="203" customFormat="1" hidden="1" x14ac:dyDescent="0.3">
      <c r="A176" s="786" t="s">
        <v>4</v>
      </c>
      <c r="B176" s="790">
        <f>SUM(B174:B175)</f>
        <v>0</v>
      </c>
      <c r="C176" s="786"/>
      <c r="D176" s="786"/>
      <c r="E176" s="786"/>
      <c r="F176" s="786"/>
      <c r="G176" s="1011"/>
      <c r="R176" s="205"/>
      <c r="S176" s="205"/>
      <c r="T176" s="205"/>
      <c r="U176" s="205"/>
      <c r="V176" s="205"/>
      <c r="W176" s="205"/>
      <c r="X176" s="205"/>
      <c r="Y176" s="205"/>
      <c r="Z176" s="205"/>
      <c r="AA176" s="205"/>
      <c r="AB176" s="205"/>
      <c r="AC176" s="205"/>
      <c r="AD176" s="205"/>
      <c r="AE176" s="205"/>
      <c r="AF176" s="205"/>
      <c r="AG176" s="205"/>
      <c r="AH176" s="205"/>
      <c r="AI176" s="205"/>
      <c r="AJ176" s="205"/>
      <c r="AK176" s="205"/>
      <c r="AL176" s="205"/>
      <c r="AM176" s="205"/>
      <c r="AN176" s="205"/>
      <c r="AO176" s="205"/>
      <c r="AP176" s="205"/>
      <c r="AQ176" s="205"/>
      <c r="AR176" s="205"/>
      <c r="AS176" s="205"/>
      <c r="AT176" s="205"/>
      <c r="AU176" s="205"/>
      <c r="AV176" s="205"/>
      <c r="AW176" s="205"/>
      <c r="AX176" s="205"/>
      <c r="AY176" s="205"/>
      <c r="AZ176" s="205"/>
      <c r="BA176" s="205"/>
      <c r="BB176" s="205"/>
      <c r="BC176" s="205"/>
      <c r="BD176" s="205"/>
      <c r="BE176" s="205"/>
      <c r="BF176" s="205"/>
      <c r="BG176" s="205"/>
      <c r="BH176" s="205"/>
      <c r="BI176" s="205"/>
      <c r="BJ176" s="205"/>
      <c r="BK176" s="205"/>
      <c r="BL176" s="205"/>
      <c r="BM176" s="205"/>
      <c r="BN176" s="205"/>
      <c r="BO176" s="205"/>
      <c r="BP176" s="205"/>
      <c r="BQ176" s="205"/>
      <c r="BR176" s="205"/>
    </row>
    <row r="177" spans="1:70" s="203" customFormat="1" hidden="1" x14ac:dyDescent="0.3">
      <c r="A177" s="786"/>
      <c r="B177" s="786"/>
      <c r="C177" s="786"/>
      <c r="D177" s="786"/>
      <c r="E177" s="786"/>
      <c r="F177" s="786"/>
      <c r="G177" s="1011"/>
      <c r="R177" s="205"/>
      <c r="S177" s="205"/>
      <c r="T177" s="205"/>
      <c r="U177" s="205"/>
      <c r="V177" s="205"/>
      <c r="W177" s="205"/>
      <c r="X177" s="205"/>
      <c r="Y177" s="205"/>
      <c r="Z177" s="205"/>
      <c r="AA177" s="205"/>
      <c r="AB177" s="205"/>
      <c r="AC177" s="205"/>
      <c r="AD177" s="205"/>
      <c r="AE177" s="205"/>
      <c r="AF177" s="205"/>
      <c r="AG177" s="205"/>
      <c r="AH177" s="205"/>
      <c r="AI177" s="205"/>
      <c r="AJ177" s="205"/>
      <c r="AK177" s="205"/>
      <c r="AL177" s="205"/>
      <c r="AM177" s="205"/>
      <c r="AN177" s="205"/>
      <c r="AO177" s="205"/>
      <c r="AP177" s="205"/>
      <c r="AQ177" s="205"/>
      <c r="AR177" s="205"/>
      <c r="AS177" s="205"/>
      <c r="AT177" s="205"/>
      <c r="AU177" s="205"/>
      <c r="AV177" s="205"/>
      <c r="AW177" s="205"/>
      <c r="AX177" s="205"/>
      <c r="AY177" s="205"/>
      <c r="AZ177" s="205"/>
      <c r="BA177" s="205"/>
      <c r="BB177" s="205"/>
      <c r="BC177" s="205"/>
      <c r="BD177" s="205"/>
      <c r="BE177" s="205"/>
      <c r="BF177" s="205"/>
      <c r="BG177" s="205"/>
      <c r="BH177" s="205"/>
      <c r="BI177" s="205"/>
      <c r="BJ177" s="205"/>
      <c r="BK177" s="205"/>
      <c r="BL177" s="205"/>
      <c r="BM177" s="205"/>
      <c r="BN177" s="205"/>
      <c r="BO177" s="205"/>
      <c r="BP177" s="205"/>
      <c r="BQ177" s="205"/>
      <c r="BR177" s="205"/>
    </row>
    <row r="178" spans="1:70" s="203" customFormat="1" hidden="1" x14ac:dyDescent="0.3">
      <c r="A178" s="786" t="s">
        <v>89</v>
      </c>
      <c r="B178" s="790">
        <f>$B$7*C143/12</f>
        <v>0</v>
      </c>
      <c r="C178" s="786"/>
      <c r="D178" s="786"/>
      <c r="E178" s="786"/>
      <c r="F178" s="786"/>
      <c r="G178" s="1011"/>
      <c r="R178" s="205"/>
      <c r="S178" s="205"/>
      <c r="T178" s="205"/>
      <c r="U178" s="205"/>
      <c r="V178" s="205"/>
      <c r="W178" s="205"/>
      <c r="X178" s="205"/>
      <c r="Y178" s="205"/>
      <c r="Z178" s="205"/>
      <c r="AA178" s="205"/>
      <c r="AB178" s="205"/>
      <c r="AC178" s="205"/>
      <c r="AD178" s="205"/>
      <c r="AE178" s="205"/>
      <c r="AF178" s="205"/>
      <c r="AG178" s="205"/>
      <c r="AH178" s="205"/>
      <c r="AI178" s="205"/>
      <c r="AJ178" s="205"/>
      <c r="AK178" s="205"/>
      <c r="AL178" s="205"/>
      <c r="AM178" s="205"/>
      <c r="AN178" s="205"/>
      <c r="AO178" s="205"/>
      <c r="AP178" s="205"/>
      <c r="AQ178" s="205"/>
      <c r="AR178" s="205"/>
      <c r="AS178" s="205"/>
      <c r="AT178" s="205"/>
      <c r="AU178" s="205"/>
      <c r="AV178" s="205"/>
      <c r="AW178" s="205"/>
      <c r="AX178" s="205"/>
      <c r="AY178" s="205"/>
      <c r="AZ178" s="205"/>
      <c r="BA178" s="205"/>
      <c r="BB178" s="205"/>
      <c r="BC178" s="205"/>
      <c r="BD178" s="205"/>
      <c r="BE178" s="205"/>
      <c r="BF178" s="205"/>
      <c r="BG178" s="205"/>
      <c r="BH178" s="205"/>
      <c r="BI178" s="205"/>
      <c r="BJ178" s="205"/>
      <c r="BK178" s="205"/>
      <c r="BL178" s="205"/>
      <c r="BM178" s="205"/>
      <c r="BN178" s="205"/>
      <c r="BO178" s="205"/>
      <c r="BP178" s="205"/>
      <c r="BQ178" s="205"/>
      <c r="BR178" s="205"/>
    </row>
    <row r="179" spans="1:70" s="203" customFormat="1" hidden="1" x14ac:dyDescent="0.3">
      <c r="A179" s="786"/>
      <c r="B179" s="786"/>
      <c r="C179" s="786"/>
      <c r="D179" s="786"/>
      <c r="E179" s="786"/>
      <c r="F179" s="786"/>
      <c r="G179" s="1011"/>
      <c r="R179" s="205"/>
      <c r="S179" s="205"/>
      <c r="T179" s="205"/>
      <c r="U179" s="205"/>
      <c r="V179" s="205"/>
      <c r="W179" s="205"/>
      <c r="X179" s="205"/>
      <c r="Y179" s="205"/>
      <c r="Z179" s="205"/>
      <c r="AA179" s="205"/>
      <c r="AB179" s="205"/>
      <c r="AC179" s="205"/>
      <c r="AD179" s="205"/>
      <c r="AE179" s="205"/>
      <c r="AF179" s="205"/>
      <c r="AG179" s="205"/>
      <c r="AH179" s="205"/>
      <c r="AI179" s="205"/>
      <c r="AJ179" s="205"/>
      <c r="AK179" s="205"/>
      <c r="AL179" s="205"/>
      <c r="AM179" s="205"/>
      <c r="AN179" s="205"/>
      <c r="AO179" s="205"/>
      <c r="AP179" s="205"/>
      <c r="AQ179" s="205"/>
      <c r="AR179" s="205"/>
      <c r="AS179" s="205"/>
      <c r="AT179" s="205"/>
      <c r="AU179" s="205"/>
      <c r="AV179" s="205"/>
      <c r="AW179" s="205"/>
      <c r="AX179" s="205"/>
      <c r="AY179" s="205"/>
      <c r="AZ179" s="205"/>
      <c r="BA179" s="205"/>
      <c r="BB179" s="205"/>
      <c r="BC179" s="205"/>
      <c r="BD179" s="205"/>
      <c r="BE179" s="205"/>
      <c r="BF179" s="205"/>
      <c r="BG179" s="205"/>
      <c r="BH179" s="205"/>
      <c r="BI179" s="205"/>
      <c r="BJ179" s="205"/>
      <c r="BK179" s="205"/>
      <c r="BL179" s="205"/>
      <c r="BM179" s="205"/>
      <c r="BN179" s="205"/>
      <c r="BO179" s="205"/>
      <c r="BP179" s="205"/>
      <c r="BQ179" s="205"/>
      <c r="BR179" s="205"/>
    </row>
    <row r="180" spans="1:70" s="203" customFormat="1" hidden="1" x14ac:dyDescent="0.3">
      <c r="A180" s="786" t="s">
        <v>90</v>
      </c>
      <c r="B180" s="790">
        <f>B178-B176</f>
        <v>0</v>
      </c>
      <c r="C180" s="786"/>
      <c r="D180" s="786"/>
      <c r="E180" s="786"/>
      <c r="F180" s="786"/>
      <c r="G180" s="1011"/>
      <c r="R180" s="205"/>
      <c r="S180" s="205"/>
      <c r="T180" s="205"/>
      <c r="U180" s="205"/>
      <c r="V180" s="205"/>
      <c r="W180" s="205"/>
      <c r="X180" s="205"/>
      <c r="Y180" s="205"/>
      <c r="Z180" s="205"/>
      <c r="AA180" s="205"/>
      <c r="AB180" s="205"/>
      <c r="AC180" s="205"/>
      <c r="AD180" s="205"/>
      <c r="AE180" s="205"/>
      <c r="AF180" s="205"/>
      <c r="AG180" s="205"/>
      <c r="AH180" s="205"/>
      <c r="AI180" s="205"/>
      <c r="AJ180" s="205"/>
      <c r="AK180" s="205"/>
      <c r="AL180" s="205"/>
      <c r="AM180" s="205"/>
      <c r="AN180" s="205"/>
      <c r="AO180" s="205"/>
      <c r="AP180" s="205"/>
      <c r="AQ180" s="205"/>
      <c r="AR180" s="205"/>
      <c r="AS180" s="205"/>
      <c r="AT180" s="205"/>
      <c r="AU180" s="205"/>
      <c r="AV180" s="205"/>
      <c r="AW180" s="205"/>
      <c r="AX180" s="205"/>
      <c r="AY180" s="205"/>
      <c r="AZ180" s="205"/>
      <c r="BA180" s="205"/>
      <c r="BB180" s="205"/>
      <c r="BC180" s="205"/>
      <c r="BD180" s="205"/>
      <c r="BE180" s="205"/>
      <c r="BF180" s="205"/>
      <c r="BG180" s="205"/>
      <c r="BH180" s="205"/>
      <c r="BI180" s="205"/>
      <c r="BJ180" s="205"/>
      <c r="BK180" s="205"/>
      <c r="BL180" s="205"/>
      <c r="BM180" s="205"/>
      <c r="BN180" s="205"/>
      <c r="BO180" s="205"/>
      <c r="BP180" s="205"/>
      <c r="BQ180" s="205"/>
      <c r="BR180" s="205"/>
    </row>
    <row r="181" spans="1:70" s="203" customFormat="1" x14ac:dyDescent="0.3">
      <c r="A181" s="773"/>
      <c r="B181" s="773"/>
      <c r="C181" s="773"/>
      <c r="D181" s="773"/>
      <c r="E181" s="773"/>
      <c r="F181" s="773"/>
      <c r="G181" s="773"/>
      <c r="R181" s="205"/>
      <c r="S181" s="205"/>
      <c r="T181" s="205"/>
      <c r="U181" s="205"/>
      <c r="V181" s="205"/>
      <c r="W181" s="205"/>
      <c r="X181" s="205"/>
      <c r="Y181" s="205"/>
      <c r="Z181" s="205"/>
      <c r="AA181" s="205"/>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05"/>
      <c r="BC181" s="205"/>
      <c r="BD181" s="205"/>
      <c r="BE181" s="205"/>
      <c r="BF181" s="205"/>
      <c r="BG181" s="205"/>
      <c r="BH181" s="205"/>
      <c r="BI181" s="205"/>
      <c r="BJ181" s="205"/>
      <c r="BK181" s="205"/>
      <c r="BL181" s="205"/>
      <c r="BM181" s="205"/>
      <c r="BN181" s="205"/>
      <c r="BO181" s="205"/>
      <c r="BP181" s="205"/>
      <c r="BQ181" s="205"/>
      <c r="BR181" s="205"/>
    </row>
    <row r="182" spans="1:70" s="203" customFormat="1" x14ac:dyDescent="0.3">
      <c r="A182" s="773"/>
      <c r="B182" s="773"/>
      <c r="C182" s="773"/>
      <c r="D182" s="773"/>
      <c r="E182" s="773"/>
      <c r="F182" s="773"/>
      <c r="G182" s="773"/>
      <c r="R182" s="205"/>
      <c r="S182" s="205"/>
      <c r="T182" s="205"/>
      <c r="U182" s="205"/>
      <c r="V182" s="205"/>
      <c r="W182" s="205"/>
      <c r="X182" s="205"/>
      <c r="Y182" s="205"/>
      <c r="Z182" s="205"/>
      <c r="AA182" s="205"/>
      <c r="AB182" s="205"/>
      <c r="AC182" s="205"/>
      <c r="AD182" s="205"/>
      <c r="AE182" s="205"/>
      <c r="AF182" s="205"/>
      <c r="AG182" s="205"/>
      <c r="AH182" s="205"/>
      <c r="AI182" s="205"/>
      <c r="AJ182" s="205"/>
      <c r="AK182" s="205"/>
      <c r="AL182" s="205"/>
      <c r="AM182" s="205"/>
      <c r="AN182" s="205"/>
      <c r="AO182" s="205"/>
      <c r="AP182" s="205"/>
      <c r="AQ182" s="205"/>
      <c r="AR182" s="205"/>
      <c r="AS182" s="205"/>
      <c r="AT182" s="205"/>
      <c r="AU182" s="205"/>
      <c r="AV182" s="205"/>
      <c r="AW182" s="205"/>
      <c r="AX182" s="205"/>
      <c r="AY182" s="205"/>
      <c r="AZ182" s="205"/>
      <c r="BA182" s="205"/>
      <c r="BB182" s="205"/>
      <c r="BC182" s="205"/>
      <c r="BD182" s="205"/>
      <c r="BE182" s="205"/>
      <c r="BF182" s="205"/>
      <c r="BG182" s="205"/>
      <c r="BH182" s="205"/>
      <c r="BI182" s="205"/>
      <c r="BJ182" s="205"/>
      <c r="BK182" s="205"/>
      <c r="BL182" s="205"/>
      <c r="BM182" s="205"/>
      <c r="BN182" s="205"/>
      <c r="BO182" s="205"/>
      <c r="BP182" s="205"/>
      <c r="BQ182" s="205"/>
      <c r="BR182" s="205"/>
    </row>
    <row r="183" spans="1:70" s="203" customFormat="1" x14ac:dyDescent="0.3">
      <c r="A183" s="1540" t="s">
        <v>253</v>
      </c>
      <c r="B183" s="1540"/>
      <c r="C183" s="1540"/>
      <c r="D183" s="1540"/>
      <c r="E183" s="1540"/>
      <c r="F183" s="1540"/>
      <c r="G183" s="1011"/>
      <c r="H183" s="26"/>
      <c r="I183" s="26"/>
      <c r="R183" s="205"/>
      <c r="S183" s="205"/>
      <c r="T183" s="205"/>
      <c r="U183" s="205"/>
      <c r="V183" s="205"/>
      <c r="W183" s="205"/>
      <c r="X183" s="205"/>
      <c r="Y183" s="205"/>
      <c r="Z183" s="205"/>
      <c r="AA183" s="205"/>
      <c r="AB183" s="205"/>
      <c r="AC183" s="205"/>
      <c r="AD183" s="205"/>
      <c r="AE183" s="205"/>
      <c r="AF183" s="205"/>
      <c r="AG183" s="205"/>
      <c r="AH183" s="205"/>
      <c r="AI183" s="205"/>
      <c r="AJ183" s="205"/>
      <c r="AK183" s="205"/>
      <c r="AL183" s="205"/>
      <c r="AM183" s="205"/>
      <c r="AN183" s="205"/>
      <c r="AO183" s="205"/>
      <c r="AP183" s="205"/>
      <c r="AQ183" s="205"/>
      <c r="AR183" s="205"/>
      <c r="AS183" s="205"/>
      <c r="AT183" s="205"/>
      <c r="AU183" s="205"/>
      <c r="AV183" s="205"/>
      <c r="AW183" s="205"/>
      <c r="AX183" s="205"/>
      <c r="AY183" s="205"/>
      <c r="AZ183" s="205"/>
      <c r="BA183" s="205"/>
      <c r="BB183" s="205"/>
      <c r="BC183" s="205"/>
      <c r="BD183" s="205"/>
      <c r="BE183" s="205"/>
      <c r="BF183" s="205"/>
      <c r="BG183" s="205"/>
      <c r="BH183" s="205"/>
      <c r="BI183" s="205"/>
      <c r="BJ183" s="205"/>
      <c r="BK183" s="205"/>
      <c r="BL183" s="205"/>
      <c r="BM183" s="205"/>
      <c r="BN183" s="205"/>
      <c r="BO183" s="205"/>
      <c r="BP183" s="205"/>
      <c r="BQ183" s="205"/>
      <c r="BR183" s="205"/>
    </row>
    <row r="184" spans="1:70" s="203" customFormat="1" x14ac:dyDescent="0.3">
      <c r="A184" s="597" t="s">
        <v>109</v>
      </c>
      <c r="B184" s="784"/>
      <c r="C184" s="771"/>
      <c r="D184" s="772"/>
      <c r="E184" s="772"/>
      <c r="F184" s="772"/>
      <c r="G184" s="1011"/>
      <c r="H184" s="26"/>
      <c r="I184" s="26"/>
      <c r="R184" s="205"/>
      <c r="S184" s="205"/>
      <c r="T184" s="205"/>
      <c r="U184" s="205"/>
      <c r="V184" s="205"/>
      <c r="W184" s="205"/>
      <c r="X184" s="205"/>
      <c r="Y184" s="205"/>
      <c r="Z184" s="205"/>
      <c r="AA184" s="205"/>
      <c r="AB184" s="205"/>
      <c r="AC184" s="205"/>
      <c r="AD184" s="205"/>
      <c r="AE184" s="205"/>
      <c r="AF184" s="205"/>
      <c r="AG184" s="205"/>
      <c r="AH184" s="205"/>
      <c r="AI184" s="205"/>
      <c r="AJ184" s="205"/>
      <c r="AK184" s="205"/>
      <c r="AL184" s="205"/>
      <c r="AM184" s="205"/>
      <c r="AN184" s="205"/>
      <c r="AO184" s="205"/>
      <c r="AP184" s="205"/>
      <c r="AQ184" s="205"/>
      <c r="AR184" s="205"/>
      <c r="AS184" s="205"/>
      <c r="AT184" s="205"/>
      <c r="AU184" s="205"/>
      <c r="AV184" s="205"/>
      <c r="AW184" s="205"/>
      <c r="AX184" s="205"/>
      <c r="AY184" s="205"/>
      <c r="AZ184" s="205"/>
      <c r="BA184" s="205"/>
      <c r="BB184" s="205"/>
      <c r="BC184" s="205"/>
      <c r="BD184" s="205"/>
      <c r="BE184" s="205"/>
      <c r="BF184" s="205"/>
      <c r="BG184" s="205"/>
      <c r="BH184" s="205"/>
      <c r="BI184" s="205"/>
      <c r="BJ184" s="205"/>
      <c r="BK184" s="205"/>
      <c r="BL184" s="205"/>
      <c r="BM184" s="205"/>
      <c r="BN184" s="205"/>
      <c r="BO184" s="205"/>
      <c r="BP184" s="205"/>
      <c r="BQ184" s="205"/>
      <c r="BR184" s="205"/>
    </row>
    <row r="185" spans="1:70" s="203" customFormat="1" x14ac:dyDescent="0.3">
      <c r="A185" s="593" t="s">
        <v>629</v>
      </c>
      <c r="B185" s="998"/>
      <c r="C185" s="1452">
        <v>0</v>
      </c>
      <c r="D185" s="774"/>
      <c r="E185" s="774"/>
      <c r="F185" s="774"/>
      <c r="G185" s="1011"/>
      <c r="H185" s="30"/>
      <c r="I185" s="30"/>
      <c r="J185" s="205"/>
      <c r="K185" s="205"/>
      <c r="L185" s="205"/>
      <c r="M185" s="205"/>
      <c r="N185" s="205"/>
      <c r="O185" s="205"/>
      <c r="P185" s="205"/>
      <c r="Q185" s="205"/>
      <c r="R185" s="205"/>
      <c r="S185" s="205"/>
      <c r="T185" s="205"/>
      <c r="U185" s="205"/>
      <c r="V185" s="205"/>
      <c r="W185" s="205"/>
      <c r="X185" s="205"/>
      <c r="Y185" s="205"/>
      <c r="Z185" s="205"/>
      <c r="AA185" s="205"/>
      <c r="AB185" s="205"/>
      <c r="AC185" s="205"/>
      <c r="AD185" s="205"/>
      <c r="AE185" s="205"/>
      <c r="AF185" s="205"/>
      <c r="AG185" s="205"/>
      <c r="AH185" s="205"/>
      <c r="AI185" s="205"/>
      <c r="AJ185" s="205"/>
      <c r="AK185" s="205"/>
      <c r="AL185" s="205"/>
      <c r="AM185" s="205"/>
      <c r="AN185" s="205"/>
      <c r="AO185" s="205"/>
      <c r="AP185" s="205"/>
      <c r="AQ185" s="205"/>
      <c r="AR185" s="205"/>
      <c r="AS185" s="205"/>
      <c r="AT185" s="205"/>
      <c r="AU185" s="205"/>
      <c r="AV185" s="205"/>
      <c r="AW185" s="205"/>
      <c r="AX185" s="205"/>
      <c r="AY185" s="205"/>
      <c r="AZ185" s="205"/>
      <c r="BA185" s="205"/>
      <c r="BB185" s="205"/>
      <c r="BC185" s="205"/>
      <c r="BD185" s="205"/>
      <c r="BE185" s="205"/>
      <c r="BF185" s="205"/>
      <c r="BG185" s="205"/>
      <c r="BH185" s="205"/>
      <c r="BI185" s="205"/>
      <c r="BJ185" s="205"/>
      <c r="BK185" s="205"/>
      <c r="BL185" s="205"/>
      <c r="BM185" s="205"/>
      <c r="BN185" s="205"/>
      <c r="BO185" s="205"/>
      <c r="BP185" s="205"/>
      <c r="BQ185" s="205"/>
      <c r="BR185" s="205"/>
    </row>
    <row r="186" spans="1:70" s="207" customFormat="1" x14ac:dyDescent="0.3">
      <c r="A186" s="592"/>
      <c r="B186" s="999"/>
      <c r="C186" s="592"/>
      <c r="D186" s="774"/>
      <c r="E186" s="774"/>
      <c r="F186" s="774"/>
      <c r="G186" s="1011"/>
      <c r="H186" s="35"/>
      <c r="I186" s="35"/>
      <c r="J186" s="206"/>
      <c r="K186" s="206"/>
      <c r="L186" s="206"/>
      <c r="M186" s="206"/>
      <c r="N186" s="206"/>
      <c r="O186" s="206"/>
      <c r="P186" s="206"/>
      <c r="Q186" s="206"/>
      <c r="R186" s="205"/>
      <c r="S186" s="205"/>
      <c r="T186" s="205"/>
      <c r="U186" s="205"/>
      <c r="V186" s="205"/>
      <c r="W186" s="205"/>
      <c r="X186" s="205"/>
      <c r="Y186" s="205"/>
      <c r="Z186" s="205"/>
      <c r="AA186" s="205"/>
      <c r="AB186" s="205"/>
      <c r="AC186" s="205"/>
      <c r="AD186" s="205"/>
      <c r="AE186" s="205"/>
      <c r="AF186" s="205"/>
      <c r="AG186" s="205"/>
      <c r="AH186" s="205"/>
      <c r="AI186" s="205"/>
      <c r="AJ186" s="205"/>
      <c r="AK186" s="205"/>
      <c r="AL186" s="205"/>
      <c r="AM186" s="205"/>
      <c r="AN186" s="205"/>
      <c r="AO186" s="205"/>
      <c r="AP186" s="205"/>
      <c r="AQ186" s="205"/>
      <c r="AR186" s="205"/>
      <c r="AS186" s="205"/>
      <c r="AT186" s="205"/>
      <c r="AU186" s="205"/>
      <c r="AV186" s="205"/>
      <c r="AW186" s="205"/>
      <c r="AX186" s="205"/>
      <c r="AY186" s="205"/>
      <c r="AZ186" s="205"/>
      <c r="BA186" s="205"/>
      <c r="BB186" s="205"/>
      <c r="BC186" s="205"/>
      <c r="BD186" s="205"/>
      <c r="BE186" s="205"/>
      <c r="BF186" s="205"/>
      <c r="BG186" s="205"/>
      <c r="BH186" s="205"/>
      <c r="BI186" s="205"/>
      <c r="BJ186" s="205"/>
      <c r="BK186" s="205"/>
      <c r="BL186" s="205"/>
      <c r="BM186" s="205"/>
      <c r="BN186" s="205"/>
      <c r="BO186" s="205"/>
      <c r="BP186" s="205"/>
      <c r="BQ186" s="205"/>
      <c r="BR186" s="205"/>
    </row>
    <row r="187" spans="1:70" s="203" customFormat="1" ht="15" thickBot="1" x14ac:dyDescent="0.35">
      <c r="A187" s="593" t="s">
        <v>239</v>
      </c>
      <c r="B187" s="998"/>
      <c r="C187" s="809">
        <f>B228</f>
        <v>0</v>
      </c>
      <c r="D187" s="775"/>
      <c r="E187" s="775"/>
      <c r="F187" s="775"/>
      <c r="G187" s="1011"/>
      <c r="I187" s="28"/>
      <c r="J187" s="29"/>
      <c r="K187" s="29"/>
      <c r="R187" s="205"/>
      <c r="S187" s="205"/>
      <c r="T187" s="205"/>
      <c r="U187" s="205"/>
      <c r="V187" s="205"/>
      <c r="W187" s="205"/>
      <c r="X187" s="205"/>
      <c r="Y187" s="205"/>
      <c r="Z187" s="205"/>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05"/>
      <c r="BC187" s="205"/>
      <c r="BD187" s="205"/>
      <c r="BE187" s="205"/>
      <c r="BF187" s="205"/>
      <c r="BG187" s="205"/>
      <c r="BH187" s="205"/>
      <c r="BI187" s="205"/>
      <c r="BJ187" s="205"/>
      <c r="BK187" s="205"/>
      <c r="BL187" s="205"/>
      <c r="BM187" s="205"/>
      <c r="BN187" s="205"/>
      <c r="BO187" s="205"/>
      <c r="BP187" s="205"/>
      <c r="BQ187" s="205"/>
      <c r="BR187" s="205"/>
    </row>
    <row r="188" spans="1:70" s="203" customFormat="1" ht="15.6" thickTop="1" thickBot="1" x14ac:dyDescent="0.35">
      <c r="A188" s="593" t="s">
        <v>242</v>
      </c>
      <c r="B188" s="998"/>
      <c r="C188" s="599" t="s">
        <v>59</v>
      </c>
      <c r="D188" s="998"/>
      <c r="E188" s="775"/>
      <c r="F188" s="775"/>
      <c r="G188" s="1011"/>
      <c r="I188" s="28"/>
      <c r="J188" s="29"/>
      <c r="K188" s="29"/>
      <c r="R188" s="205"/>
      <c r="S188" s="205"/>
      <c r="T188" s="205"/>
      <c r="U188" s="205"/>
      <c r="V188" s="205"/>
      <c r="W188" s="205"/>
      <c r="X188" s="205"/>
      <c r="Y188" s="205"/>
      <c r="Z188" s="205"/>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05"/>
      <c r="BC188" s="205"/>
      <c r="BD188" s="205"/>
      <c r="BE188" s="205"/>
      <c r="BF188" s="205"/>
      <c r="BG188" s="205"/>
      <c r="BH188" s="205"/>
      <c r="BI188" s="205"/>
      <c r="BJ188" s="205"/>
      <c r="BK188" s="205"/>
      <c r="BL188" s="205"/>
      <c r="BM188" s="205"/>
      <c r="BN188" s="205"/>
      <c r="BO188" s="205"/>
      <c r="BP188" s="205"/>
      <c r="BQ188" s="205"/>
      <c r="BR188" s="205"/>
    </row>
    <row r="189" spans="1:70" s="203" customFormat="1" ht="15" thickTop="1" x14ac:dyDescent="0.3">
      <c r="A189" s="593" t="s">
        <v>247</v>
      </c>
      <c r="B189" s="998"/>
      <c r="C189" s="998"/>
      <c r="D189" s="1005"/>
      <c r="E189" s="775"/>
      <c r="F189" s="775"/>
      <c r="G189" s="1011"/>
      <c r="I189" s="28"/>
      <c r="J189" s="29"/>
      <c r="K189" s="29"/>
      <c r="R189" s="205"/>
      <c r="S189" s="205"/>
      <c r="T189" s="205"/>
      <c r="U189" s="205"/>
      <c r="V189" s="205"/>
      <c r="W189" s="205"/>
      <c r="X189" s="205"/>
      <c r="Y189" s="205"/>
      <c r="Z189" s="205"/>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05"/>
      <c r="BC189" s="205"/>
      <c r="BD189" s="205"/>
      <c r="BE189" s="205"/>
      <c r="BF189" s="205"/>
      <c r="BG189" s="205"/>
      <c r="BH189" s="205"/>
      <c r="BI189" s="205"/>
      <c r="BJ189" s="205"/>
      <c r="BK189" s="205"/>
      <c r="BL189" s="205"/>
      <c r="BM189" s="205"/>
      <c r="BN189" s="205"/>
      <c r="BO189" s="205"/>
      <c r="BP189" s="205"/>
      <c r="BQ189" s="205"/>
      <c r="BR189" s="205"/>
    </row>
    <row r="190" spans="1:70" s="203" customFormat="1" x14ac:dyDescent="0.3">
      <c r="A190" s="593" t="s">
        <v>248</v>
      </c>
      <c r="B190" s="998"/>
      <c r="C190" s="998"/>
      <c r="D190" s="1005"/>
      <c r="E190" s="775"/>
      <c r="F190" s="775"/>
      <c r="G190" s="1011"/>
      <c r="I190" s="28"/>
      <c r="J190" s="29"/>
      <c r="K190" s="29"/>
      <c r="R190" s="205"/>
      <c r="S190" s="205"/>
      <c r="T190" s="205"/>
      <c r="U190" s="205"/>
      <c r="V190" s="205"/>
      <c r="W190" s="205"/>
      <c r="X190" s="205"/>
      <c r="Y190" s="205"/>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05"/>
      <c r="BC190" s="205"/>
      <c r="BD190" s="205"/>
      <c r="BE190" s="205"/>
      <c r="BF190" s="205"/>
      <c r="BG190" s="205"/>
      <c r="BH190" s="205"/>
      <c r="BI190" s="205"/>
      <c r="BJ190" s="205"/>
      <c r="BK190" s="205"/>
      <c r="BL190" s="205"/>
      <c r="BM190" s="205"/>
      <c r="BN190" s="205"/>
      <c r="BO190" s="205"/>
      <c r="BP190" s="205"/>
      <c r="BQ190" s="205"/>
      <c r="BR190" s="205"/>
    </row>
    <row r="191" spans="1:70" s="203" customFormat="1" x14ac:dyDescent="0.3">
      <c r="A191" s="593" t="s">
        <v>243</v>
      </c>
      <c r="B191" s="998"/>
      <c r="C191" s="600">
        <v>0</v>
      </c>
      <c r="D191" s="774"/>
      <c r="E191" s="774"/>
      <c r="F191" s="774"/>
      <c r="G191" s="1011"/>
      <c r="I191" s="26"/>
      <c r="R191" s="205"/>
      <c r="S191" s="205"/>
      <c r="T191" s="205"/>
      <c r="U191" s="205"/>
      <c r="V191" s="205"/>
      <c r="W191" s="205"/>
      <c r="X191" s="205"/>
      <c r="Y191" s="205"/>
      <c r="Z191" s="205"/>
      <c r="AA191" s="205"/>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05"/>
      <c r="BC191" s="205"/>
      <c r="BD191" s="205"/>
      <c r="BE191" s="205"/>
      <c r="BF191" s="205"/>
      <c r="BG191" s="205"/>
      <c r="BH191" s="205"/>
      <c r="BI191" s="205"/>
      <c r="BJ191" s="205"/>
      <c r="BK191" s="205"/>
      <c r="BL191" s="205"/>
      <c r="BM191" s="205"/>
      <c r="BN191" s="205"/>
      <c r="BO191" s="205"/>
      <c r="BP191" s="205"/>
      <c r="BQ191" s="205"/>
      <c r="BR191" s="205"/>
    </row>
    <row r="192" spans="1:70" s="203" customFormat="1" x14ac:dyDescent="0.3">
      <c r="A192" s="593"/>
      <c r="B192" s="1000"/>
      <c r="C192" s="592"/>
      <c r="D192" s="774"/>
      <c r="E192" s="774"/>
      <c r="F192" s="774"/>
      <c r="G192" s="1011"/>
      <c r="I192" s="26"/>
      <c r="R192" s="205"/>
      <c r="S192" s="205"/>
      <c r="T192" s="205"/>
      <c r="U192" s="205"/>
      <c r="V192" s="205"/>
      <c r="W192" s="205"/>
      <c r="X192" s="205"/>
      <c r="Y192" s="205"/>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05"/>
      <c r="BC192" s="205"/>
      <c r="BD192" s="205"/>
      <c r="BE192" s="205"/>
      <c r="BF192" s="205"/>
      <c r="BG192" s="205"/>
      <c r="BH192" s="205"/>
      <c r="BI192" s="205"/>
      <c r="BJ192" s="205"/>
      <c r="BK192" s="205"/>
      <c r="BL192" s="205"/>
      <c r="BM192" s="205"/>
      <c r="BN192" s="205"/>
      <c r="BO192" s="205"/>
      <c r="BP192" s="205"/>
      <c r="BQ192" s="205"/>
      <c r="BR192" s="205"/>
    </row>
    <row r="193" spans="1:70" s="206" customFormat="1" ht="15" customHeight="1" x14ac:dyDescent="0.3">
      <c r="A193" s="1003" t="s">
        <v>240</v>
      </c>
      <c r="B193" s="1001"/>
      <c r="C193" s="1001"/>
      <c r="D193" s="1001"/>
      <c r="E193" s="1001"/>
      <c r="F193" s="1001"/>
      <c r="G193" s="1011"/>
    </row>
    <row r="194" spans="1:70" s="206" customFormat="1" x14ac:dyDescent="0.3">
      <c r="A194" s="1004" t="s">
        <v>91</v>
      </c>
      <c r="B194" s="596"/>
      <c r="C194" s="1007">
        <f>$B$4*C185/12</f>
        <v>0</v>
      </c>
      <c r="D194" s="596"/>
      <c r="E194" s="596"/>
      <c r="F194" s="596"/>
      <c r="G194" s="1011"/>
      <c r="H194" s="32"/>
    </row>
    <row r="195" spans="1:70" s="206" customFormat="1" x14ac:dyDescent="0.3">
      <c r="A195" s="596" t="s">
        <v>92</v>
      </c>
      <c r="B195" s="596"/>
      <c r="C195" s="1007">
        <f>$B$5*C185/12</f>
        <v>0</v>
      </c>
      <c r="D195" s="1006"/>
      <c r="E195" s="596"/>
      <c r="F195" s="596"/>
      <c r="G195" s="1011"/>
      <c r="H195" s="33"/>
    </row>
    <row r="196" spans="1:70" s="206" customFormat="1" x14ac:dyDescent="0.3">
      <c r="A196" s="596" t="s">
        <v>107</v>
      </c>
      <c r="B196" s="596"/>
      <c r="C196" s="1008">
        <f>IF(C188="Yes", B228, C191)</f>
        <v>0</v>
      </c>
      <c r="D196" s="596"/>
      <c r="E196" s="596"/>
      <c r="F196" s="596"/>
      <c r="G196" s="1011"/>
      <c r="H196" s="31"/>
    </row>
    <row r="197" spans="1:70" s="206" customFormat="1" x14ac:dyDescent="0.3">
      <c r="A197" s="596" t="s">
        <v>95</v>
      </c>
      <c r="B197" s="596"/>
      <c r="C197" s="1007">
        <f>SUM(C194:C196)</f>
        <v>0</v>
      </c>
      <c r="D197" s="596"/>
      <c r="E197" s="596"/>
      <c r="F197" s="596"/>
      <c r="G197" s="1011"/>
      <c r="H197" s="203"/>
    </row>
    <row r="198" spans="1:70" s="206" customFormat="1" x14ac:dyDescent="0.3">
      <c r="A198" s="596"/>
      <c r="B198" s="1002"/>
      <c r="C198" s="596"/>
      <c r="D198" s="596"/>
      <c r="E198" s="596"/>
      <c r="F198" s="596"/>
      <c r="G198" s="1011"/>
      <c r="H198" s="203"/>
    </row>
    <row r="199" spans="1:70" s="203" customFormat="1" x14ac:dyDescent="0.3">
      <c r="A199" s="597" t="s">
        <v>110</v>
      </c>
      <c r="B199" s="784"/>
      <c r="C199" s="771"/>
      <c r="D199" s="772"/>
      <c r="E199" s="772"/>
      <c r="F199" s="772"/>
      <c r="G199" s="1011"/>
      <c r="H199" s="26"/>
      <c r="I199" s="26"/>
      <c r="R199" s="205"/>
      <c r="S199" s="205"/>
      <c r="T199" s="205"/>
      <c r="U199" s="205"/>
      <c r="V199" s="205"/>
      <c r="W199" s="205"/>
      <c r="X199" s="205"/>
      <c r="Y199" s="205"/>
      <c r="Z199" s="205"/>
      <c r="AA199" s="205"/>
      <c r="AB199" s="205"/>
      <c r="AC199" s="205"/>
      <c r="AD199" s="205"/>
      <c r="AE199" s="205"/>
      <c r="AF199" s="205"/>
      <c r="AG199" s="205"/>
      <c r="AH199" s="205"/>
      <c r="AI199" s="205"/>
      <c r="AJ199" s="205"/>
      <c r="AK199" s="205"/>
      <c r="AL199" s="205"/>
      <c r="AM199" s="205"/>
      <c r="AN199" s="205"/>
      <c r="AO199" s="205"/>
      <c r="AP199" s="205"/>
      <c r="AQ199" s="205"/>
      <c r="AR199" s="205"/>
      <c r="AS199" s="205"/>
      <c r="AT199" s="205"/>
      <c r="AU199" s="205"/>
      <c r="AV199" s="205"/>
      <c r="AW199" s="205"/>
      <c r="AX199" s="205"/>
      <c r="AY199" s="205"/>
      <c r="AZ199" s="205"/>
      <c r="BA199" s="205"/>
      <c r="BB199" s="205"/>
      <c r="BC199" s="205"/>
      <c r="BD199" s="205"/>
      <c r="BE199" s="205"/>
      <c r="BF199" s="205"/>
      <c r="BG199" s="205"/>
      <c r="BH199" s="205"/>
      <c r="BI199" s="205"/>
      <c r="BJ199" s="205"/>
      <c r="BK199" s="205"/>
      <c r="BL199" s="205"/>
      <c r="BM199" s="205"/>
      <c r="BN199" s="205"/>
      <c r="BO199" s="205"/>
      <c r="BP199" s="205"/>
      <c r="BQ199" s="205"/>
      <c r="BR199" s="205"/>
    </row>
    <row r="200" spans="1:70" s="203" customFormat="1" x14ac:dyDescent="0.3">
      <c r="A200" s="593" t="s">
        <v>631</v>
      </c>
      <c r="B200" s="998"/>
      <c r="C200" s="1452">
        <v>0</v>
      </c>
      <c r="D200" s="774"/>
      <c r="E200" s="774"/>
      <c r="F200" s="774"/>
      <c r="G200" s="1011"/>
      <c r="H200" s="30"/>
      <c r="I200" s="30"/>
      <c r="J200" s="205"/>
      <c r="K200" s="205"/>
      <c r="L200" s="205"/>
      <c r="M200" s="205"/>
      <c r="N200" s="205"/>
      <c r="O200" s="205"/>
      <c r="P200" s="205"/>
      <c r="Q200" s="205"/>
      <c r="R200" s="205"/>
      <c r="S200" s="205"/>
      <c r="T200" s="205"/>
      <c r="U200" s="205"/>
      <c r="V200" s="205"/>
      <c r="W200" s="205"/>
      <c r="X200" s="205"/>
      <c r="Y200" s="205"/>
      <c r="Z200" s="205"/>
      <c r="AA200" s="205"/>
      <c r="AB200" s="205"/>
      <c r="AC200" s="205"/>
      <c r="AD200" s="205"/>
      <c r="AE200" s="205"/>
      <c r="AF200" s="205"/>
      <c r="AG200" s="205"/>
      <c r="AH200" s="205"/>
      <c r="AI200" s="205"/>
      <c r="AJ200" s="205"/>
      <c r="AK200" s="205"/>
      <c r="AL200" s="205"/>
      <c r="AM200" s="205"/>
      <c r="AN200" s="205"/>
      <c r="AO200" s="205"/>
      <c r="AP200" s="205"/>
      <c r="AQ200" s="205"/>
      <c r="AR200" s="205"/>
      <c r="AS200" s="205"/>
      <c r="AT200" s="205"/>
      <c r="AU200" s="205"/>
      <c r="AV200" s="205"/>
      <c r="AW200" s="205"/>
      <c r="AX200" s="205"/>
      <c r="AY200" s="205"/>
      <c r="AZ200" s="205"/>
      <c r="BA200" s="205"/>
      <c r="BB200" s="205"/>
      <c r="BC200" s="205"/>
      <c r="BD200" s="205"/>
      <c r="BE200" s="205"/>
      <c r="BF200" s="205"/>
      <c r="BG200" s="205"/>
      <c r="BH200" s="205"/>
      <c r="BI200" s="205"/>
      <c r="BJ200" s="205"/>
      <c r="BK200" s="205"/>
      <c r="BL200" s="205"/>
      <c r="BM200" s="205"/>
      <c r="BN200" s="205"/>
      <c r="BO200" s="205"/>
      <c r="BP200" s="205"/>
      <c r="BQ200" s="205"/>
      <c r="BR200" s="205"/>
    </row>
    <row r="201" spans="1:70" s="207" customFormat="1" x14ac:dyDescent="0.3">
      <c r="A201" s="592"/>
      <c r="B201" s="999"/>
      <c r="C201" s="592"/>
      <c r="D201" s="774"/>
      <c r="E201" s="774"/>
      <c r="F201" s="774"/>
      <c r="G201" s="1011"/>
      <c r="H201" s="35"/>
      <c r="I201" s="35"/>
      <c r="J201" s="206"/>
      <c r="K201" s="206"/>
      <c r="L201" s="206"/>
      <c r="M201" s="206"/>
      <c r="N201" s="206"/>
      <c r="O201" s="206"/>
      <c r="P201" s="206"/>
      <c r="Q201" s="206"/>
      <c r="R201" s="205"/>
      <c r="S201" s="205"/>
      <c r="T201" s="205"/>
      <c r="U201" s="205"/>
      <c r="V201" s="205"/>
      <c r="W201" s="205"/>
      <c r="X201" s="205"/>
      <c r="Y201" s="205"/>
      <c r="Z201" s="205"/>
      <c r="AA201" s="205"/>
      <c r="AB201" s="205"/>
      <c r="AC201" s="205"/>
      <c r="AD201" s="205"/>
      <c r="AE201" s="205"/>
      <c r="AF201" s="205"/>
      <c r="AG201" s="205"/>
      <c r="AH201" s="205"/>
      <c r="AI201" s="205"/>
      <c r="AJ201" s="205"/>
      <c r="AK201" s="205"/>
      <c r="AL201" s="205"/>
      <c r="AM201" s="205"/>
      <c r="AN201" s="205"/>
      <c r="AO201" s="205"/>
      <c r="AP201" s="205"/>
      <c r="AQ201" s="205"/>
      <c r="AR201" s="205"/>
      <c r="AS201" s="205"/>
      <c r="AT201" s="205"/>
      <c r="AU201" s="205"/>
      <c r="AV201" s="205"/>
      <c r="AW201" s="205"/>
      <c r="AX201" s="205"/>
      <c r="AY201" s="205"/>
      <c r="AZ201" s="205"/>
      <c r="BA201" s="205"/>
      <c r="BB201" s="205"/>
      <c r="BC201" s="205"/>
      <c r="BD201" s="205"/>
      <c r="BE201" s="205"/>
      <c r="BF201" s="205"/>
      <c r="BG201" s="205"/>
      <c r="BH201" s="205"/>
      <c r="BI201" s="205"/>
      <c r="BJ201" s="205"/>
      <c r="BK201" s="205"/>
      <c r="BL201" s="205"/>
      <c r="BM201" s="205"/>
      <c r="BN201" s="205"/>
      <c r="BO201" s="205"/>
      <c r="BP201" s="205"/>
      <c r="BQ201" s="205"/>
      <c r="BR201" s="205"/>
    </row>
    <row r="202" spans="1:70" s="203" customFormat="1" ht="15" thickBot="1" x14ac:dyDescent="0.35">
      <c r="A202" s="593" t="s">
        <v>239</v>
      </c>
      <c r="B202" s="998"/>
      <c r="C202" s="809">
        <f>B237</f>
        <v>0</v>
      </c>
      <c r="D202" s="775"/>
      <c r="E202" s="775"/>
      <c r="F202" s="775"/>
      <c r="G202" s="1011"/>
      <c r="I202" s="28"/>
      <c r="J202" s="29"/>
      <c r="K202" s="29"/>
      <c r="R202" s="205"/>
      <c r="S202" s="205"/>
      <c r="T202" s="205"/>
      <c r="U202" s="205"/>
      <c r="V202" s="205"/>
      <c r="W202" s="205"/>
      <c r="X202" s="205"/>
      <c r="Y202" s="205"/>
      <c r="Z202" s="205"/>
      <c r="AA202" s="205"/>
      <c r="AB202" s="205"/>
      <c r="AC202" s="205"/>
      <c r="AD202" s="205"/>
      <c r="AE202" s="205"/>
      <c r="AF202" s="205"/>
      <c r="AG202" s="205"/>
      <c r="AH202" s="205"/>
      <c r="AI202" s="205"/>
      <c r="AJ202" s="205"/>
      <c r="AK202" s="205"/>
      <c r="AL202" s="205"/>
      <c r="AM202" s="205"/>
      <c r="AN202" s="205"/>
      <c r="AO202" s="205"/>
      <c r="AP202" s="205"/>
      <c r="AQ202" s="205"/>
      <c r="AR202" s="205"/>
      <c r="AS202" s="205"/>
      <c r="AT202" s="205"/>
      <c r="AU202" s="205"/>
      <c r="AV202" s="205"/>
      <c r="AW202" s="205"/>
      <c r="AX202" s="205"/>
      <c r="AY202" s="205"/>
      <c r="AZ202" s="205"/>
      <c r="BA202" s="205"/>
      <c r="BB202" s="205"/>
      <c r="BC202" s="205"/>
      <c r="BD202" s="205"/>
      <c r="BE202" s="205"/>
      <c r="BF202" s="205"/>
      <c r="BG202" s="205"/>
      <c r="BH202" s="205"/>
      <c r="BI202" s="205"/>
      <c r="BJ202" s="205"/>
      <c r="BK202" s="205"/>
      <c r="BL202" s="205"/>
      <c r="BM202" s="205"/>
      <c r="BN202" s="205"/>
      <c r="BO202" s="205"/>
      <c r="BP202" s="205"/>
      <c r="BQ202" s="205"/>
      <c r="BR202" s="205"/>
    </row>
    <row r="203" spans="1:70" s="203" customFormat="1" ht="15.6" thickTop="1" thickBot="1" x14ac:dyDescent="0.35">
      <c r="A203" s="593" t="s">
        <v>244</v>
      </c>
      <c r="B203" s="998"/>
      <c r="C203" s="599" t="s">
        <v>59</v>
      </c>
      <c r="D203" s="775"/>
      <c r="E203" s="775"/>
      <c r="F203" s="775"/>
      <c r="G203" s="1011"/>
      <c r="I203" s="28"/>
      <c r="J203" s="29"/>
      <c r="K203" s="29"/>
      <c r="R203" s="205"/>
      <c r="S203" s="205"/>
      <c r="T203" s="205"/>
      <c r="U203" s="205"/>
      <c r="V203" s="205"/>
      <c r="W203" s="205"/>
      <c r="X203" s="205"/>
      <c r="Y203" s="205"/>
      <c r="Z203" s="205"/>
      <c r="AA203" s="205"/>
      <c r="AB203" s="205"/>
      <c r="AC203" s="205"/>
      <c r="AD203" s="205"/>
      <c r="AE203" s="205"/>
      <c r="AF203" s="205"/>
      <c r="AG203" s="205"/>
      <c r="AH203" s="205"/>
      <c r="AI203" s="205"/>
      <c r="AJ203" s="205"/>
      <c r="AK203" s="205"/>
      <c r="AL203" s="205"/>
      <c r="AM203" s="205"/>
      <c r="AN203" s="205"/>
      <c r="AO203" s="205"/>
      <c r="AP203" s="205"/>
      <c r="AQ203" s="205"/>
      <c r="AR203" s="205"/>
      <c r="AS203" s="205"/>
      <c r="AT203" s="205"/>
      <c r="AU203" s="205"/>
      <c r="AV203" s="205"/>
      <c r="AW203" s="205"/>
      <c r="AX203" s="205"/>
      <c r="AY203" s="205"/>
      <c r="AZ203" s="205"/>
      <c r="BA203" s="205"/>
      <c r="BB203" s="205"/>
      <c r="BC203" s="205"/>
      <c r="BD203" s="205"/>
      <c r="BE203" s="205"/>
      <c r="BF203" s="205"/>
      <c r="BG203" s="205"/>
      <c r="BH203" s="205"/>
      <c r="BI203" s="205"/>
      <c r="BJ203" s="205"/>
      <c r="BK203" s="205"/>
      <c r="BL203" s="205"/>
      <c r="BM203" s="205"/>
      <c r="BN203" s="205"/>
      <c r="BO203" s="205"/>
      <c r="BP203" s="205"/>
      <c r="BQ203" s="205"/>
      <c r="BR203" s="205"/>
    </row>
    <row r="204" spans="1:70" s="203" customFormat="1" ht="15" thickTop="1" x14ac:dyDescent="0.3">
      <c r="A204" s="593" t="s">
        <v>247</v>
      </c>
      <c r="B204" s="998"/>
      <c r="C204" s="998"/>
      <c r="D204" s="1005"/>
      <c r="E204" s="775"/>
      <c r="F204" s="775"/>
      <c r="G204" s="1011"/>
      <c r="I204" s="28"/>
      <c r="J204" s="29"/>
      <c r="K204" s="29"/>
      <c r="R204" s="205"/>
      <c r="S204" s="205"/>
      <c r="T204" s="205"/>
      <c r="U204" s="205"/>
      <c r="V204" s="205"/>
      <c r="W204" s="205"/>
      <c r="X204" s="205"/>
      <c r="Y204" s="205"/>
      <c r="Z204" s="205"/>
      <c r="AA204" s="205"/>
      <c r="AB204" s="205"/>
      <c r="AC204" s="205"/>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05"/>
      <c r="BC204" s="205"/>
      <c r="BD204" s="205"/>
      <c r="BE204" s="205"/>
      <c r="BF204" s="205"/>
      <c r="BG204" s="205"/>
      <c r="BH204" s="205"/>
      <c r="BI204" s="205"/>
      <c r="BJ204" s="205"/>
      <c r="BK204" s="205"/>
      <c r="BL204" s="205"/>
      <c r="BM204" s="205"/>
      <c r="BN204" s="205"/>
      <c r="BO204" s="205"/>
      <c r="BP204" s="205"/>
      <c r="BQ204" s="205"/>
      <c r="BR204" s="205"/>
    </row>
    <row r="205" spans="1:70" s="203" customFormat="1" x14ac:dyDescent="0.3">
      <c r="A205" s="593" t="s">
        <v>248</v>
      </c>
      <c r="B205" s="998"/>
      <c r="C205" s="998"/>
      <c r="D205" s="1005"/>
      <c r="E205" s="775"/>
      <c r="F205" s="775"/>
      <c r="G205" s="1011"/>
      <c r="I205" s="28"/>
      <c r="J205" s="29"/>
      <c r="K205" s="29"/>
      <c r="R205" s="205"/>
      <c r="S205" s="205"/>
      <c r="T205" s="205"/>
      <c r="U205" s="205"/>
      <c r="V205" s="205"/>
      <c r="W205" s="205"/>
      <c r="X205" s="205"/>
      <c r="Y205" s="205"/>
      <c r="Z205" s="205"/>
      <c r="AA205" s="205"/>
      <c r="AB205" s="205"/>
      <c r="AC205" s="205"/>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05"/>
      <c r="BC205" s="205"/>
      <c r="BD205" s="205"/>
      <c r="BE205" s="205"/>
      <c r="BF205" s="205"/>
      <c r="BG205" s="205"/>
      <c r="BH205" s="205"/>
      <c r="BI205" s="205"/>
      <c r="BJ205" s="205"/>
      <c r="BK205" s="205"/>
      <c r="BL205" s="205"/>
      <c r="BM205" s="205"/>
      <c r="BN205" s="205"/>
      <c r="BO205" s="205"/>
      <c r="BP205" s="205"/>
      <c r="BQ205" s="205"/>
      <c r="BR205" s="205"/>
    </row>
    <row r="206" spans="1:70" s="203" customFormat="1" x14ac:dyDescent="0.3">
      <c r="A206" s="593" t="s">
        <v>259</v>
      </c>
      <c r="B206" s="998"/>
      <c r="C206" s="600">
        <v>0</v>
      </c>
      <c r="D206" s="774"/>
      <c r="E206" s="774"/>
      <c r="F206" s="774"/>
      <c r="G206" s="1011"/>
      <c r="I206" s="26"/>
      <c r="R206" s="205"/>
      <c r="S206" s="205"/>
      <c r="T206" s="205"/>
      <c r="U206" s="205"/>
      <c r="V206" s="205"/>
      <c r="W206" s="205"/>
      <c r="X206" s="205"/>
      <c r="Y206" s="205"/>
      <c r="Z206" s="205"/>
      <c r="AA206" s="205"/>
      <c r="AB206" s="205"/>
      <c r="AC206" s="205"/>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05"/>
      <c r="BC206" s="205"/>
      <c r="BD206" s="205"/>
      <c r="BE206" s="205"/>
      <c r="BF206" s="205"/>
      <c r="BG206" s="205"/>
      <c r="BH206" s="205"/>
      <c r="BI206" s="205"/>
      <c r="BJ206" s="205"/>
      <c r="BK206" s="205"/>
      <c r="BL206" s="205"/>
      <c r="BM206" s="205"/>
      <c r="BN206" s="205"/>
      <c r="BO206" s="205"/>
      <c r="BP206" s="205"/>
      <c r="BQ206" s="205"/>
      <c r="BR206" s="205"/>
    </row>
    <row r="207" spans="1:70" s="203" customFormat="1" x14ac:dyDescent="0.3">
      <c r="A207" s="593"/>
      <c r="B207" s="998"/>
      <c r="C207" s="1000"/>
      <c r="D207" s="774"/>
      <c r="E207" s="774"/>
      <c r="F207" s="774"/>
      <c r="G207" s="1011"/>
      <c r="I207" s="26"/>
      <c r="R207" s="205"/>
      <c r="S207" s="205"/>
      <c r="T207" s="205"/>
      <c r="U207" s="205"/>
      <c r="V207" s="205"/>
      <c r="W207" s="205"/>
      <c r="X207" s="205"/>
      <c r="Y207" s="205"/>
      <c r="Z207" s="205"/>
      <c r="AA207" s="205"/>
      <c r="AB207" s="205"/>
      <c r="AC207" s="205"/>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05"/>
      <c r="BC207" s="205"/>
      <c r="BD207" s="205"/>
      <c r="BE207" s="205"/>
      <c r="BF207" s="205"/>
      <c r="BG207" s="205"/>
      <c r="BH207" s="205"/>
      <c r="BI207" s="205"/>
      <c r="BJ207" s="205"/>
      <c r="BK207" s="205"/>
      <c r="BL207" s="205"/>
      <c r="BM207" s="205"/>
      <c r="BN207" s="205"/>
      <c r="BO207" s="205"/>
      <c r="BP207" s="205"/>
      <c r="BQ207" s="205"/>
      <c r="BR207" s="205"/>
    </row>
    <row r="208" spans="1:70" s="206" customFormat="1" ht="15" customHeight="1" x14ac:dyDescent="0.3">
      <c r="A208" s="1003" t="s">
        <v>245</v>
      </c>
      <c r="B208" s="1001"/>
      <c r="C208" s="1001"/>
      <c r="D208" s="1001"/>
      <c r="E208" s="1001"/>
      <c r="F208" s="1001"/>
      <c r="G208" s="1011"/>
    </row>
    <row r="209" spans="1:70" s="206" customFormat="1" x14ac:dyDescent="0.3">
      <c r="A209" s="1004" t="s">
        <v>91</v>
      </c>
      <c r="B209" s="596"/>
      <c r="C209" s="1007">
        <f>$B$4*C200/12</f>
        <v>0</v>
      </c>
      <c r="D209" s="596"/>
      <c r="E209" s="596"/>
      <c r="F209" s="596"/>
      <c r="G209" s="1011"/>
      <c r="H209" s="32"/>
    </row>
    <row r="210" spans="1:70" s="206" customFormat="1" x14ac:dyDescent="0.3">
      <c r="A210" s="596" t="s">
        <v>92</v>
      </c>
      <c r="B210" s="596"/>
      <c r="C210" s="1007">
        <f>$B$5*C200/12</f>
        <v>0</v>
      </c>
      <c r="D210" s="1006"/>
      <c r="E210" s="596"/>
      <c r="F210" s="596"/>
      <c r="G210" s="1011"/>
      <c r="H210" s="33"/>
    </row>
    <row r="211" spans="1:70" s="206" customFormat="1" x14ac:dyDescent="0.3">
      <c r="A211" s="596" t="s">
        <v>107</v>
      </c>
      <c r="B211" s="596"/>
      <c r="C211" s="1008">
        <f>IF(C203="Yes", B237, C206)</f>
        <v>0</v>
      </c>
      <c r="D211" s="596"/>
      <c r="E211" s="596"/>
      <c r="F211" s="596"/>
      <c r="G211" s="1011"/>
      <c r="H211" s="31"/>
    </row>
    <row r="212" spans="1:70" s="206" customFormat="1" x14ac:dyDescent="0.3">
      <c r="A212" s="596" t="s">
        <v>95</v>
      </c>
      <c r="B212" s="596"/>
      <c r="C212" s="1007">
        <f>SUM(C209:C211)</f>
        <v>0</v>
      </c>
      <c r="D212" s="596"/>
      <c r="E212" s="596"/>
      <c r="F212" s="596"/>
      <c r="G212" s="1011"/>
      <c r="H212" s="203"/>
    </row>
    <row r="213" spans="1:70" s="206" customFormat="1" x14ac:dyDescent="0.3">
      <c r="A213" s="596"/>
      <c r="B213" s="596"/>
      <c r="C213" s="1002"/>
      <c r="D213" s="596"/>
      <c r="E213" s="596"/>
      <c r="F213" s="596"/>
      <c r="G213" s="1011"/>
      <c r="H213" s="203"/>
    </row>
    <row r="214" spans="1:70" s="203" customFormat="1" x14ac:dyDescent="0.3">
      <c r="A214" s="1538" t="s">
        <v>254</v>
      </c>
      <c r="B214" s="1538"/>
      <c r="C214" s="1538"/>
      <c r="D214" s="1538"/>
      <c r="E214" s="1538"/>
      <c r="F214" s="1538"/>
      <c r="G214" s="1011"/>
      <c r="I214" s="26"/>
      <c r="R214" s="205"/>
      <c r="S214" s="205"/>
      <c r="T214" s="205"/>
      <c r="U214" s="205"/>
      <c r="V214" s="205"/>
      <c r="W214" s="205"/>
      <c r="X214" s="205"/>
      <c r="Y214" s="205"/>
      <c r="Z214" s="205"/>
      <c r="AA214" s="205"/>
      <c r="AB214" s="205"/>
      <c r="AC214" s="205"/>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05"/>
      <c r="BC214" s="205"/>
      <c r="BD214" s="205"/>
      <c r="BE214" s="205"/>
      <c r="BF214" s="205"/>
      <c r="BG214" s="205"/>
      <c r="BH214" s="205"/>
      <c r="BI214" s="205"/>
      <c r="BJ214" s="205"/>
      <c r="BK214" s="205"/>
      <c r="BL214" s="205"/>
      <c r="BM214" s="205"/>
      <c r="BN214" s="205"/>
      <c r="BO214" s="205"/>
      <c r="BP214" s="205"/>
      <c r="BQ214" s="205"/>
      <c r="BR214" s="205"/>
    </row>
    <row r="215" spans="1:70" s="206" customFormat="1" x14ac:dyDescent="0.3">
      <c r="A215" s="1009" t="s">
        <v>91</v>
      </c>
      <c r="B215" s="596"/>
      <c r="C215" s="1010">
        <f>C194+C209</f>
        <v>0</v>
      </c>
      <c r="D215" s="1011"/>
      <c r="E215" s="1011"/>
      <c r="F215" s="1011"/>
      <c r="G215" s="1011"/>
      <c r="H215" s="32"/>
    </row>
    <row r="216" spans="1:70" s="206" customFormat="1" x14ac:dyDescent="0.3">
      <c r="A216" s="1011" t="s">
        <v>92</v>
      </c>
      <c r="B216" s="596"/>
      <c r="C216" s="1010">
        <f>C195+C210</f>
        <v>0</v>
      </c>
      <c r="D216" s="1012"/>
      <c r="E216" s="1011"/>
      <c r="F216" s="1011"/>
      <c r="G216" s="1011"/>
      <c r="H216" s="33"/>
    </row>
    <row r="217" spans="1:70" s="206" customFormat="1" x14ac:dyDescent="0.3">
      <c r="A217" s="1011" t="s">
        <v>107</v>
      </c>
      <c r="B217" s="596"/>
      <c r="C217" s="1013">
        <f>C196+C211</f>
        <v>0</v>
      </c>
      <c r="D217" s="1011"/>
      <c r="E217" s="1011"/>
      <c r="F217" s="1011"/>
      <c r="G217" s="1011"/>
      <c r="H217" s="31"/>
    </row>
    <row r="218" spans="1:70" s="206" customFormat="1" x14ac:dyDescent="0.3">
      <c r="A218" s="1011" t="s">
        <v>95</v>
      </c>
      <c r="B218" s="596"/>
      <c r="C218" s="1010">
        <f>SUM(C215:C217)</f>
        <v>0</v>
      </c>
      <c r="D218" s="1011"/>
      <c r="E218" s="1011"/>
      <c r="F218" s="1011"/>
      <c r="G218" s="1011"/>
      <c r="H218" s="203"/>
    </row>
    <row r="219" spans="1:70" s="203" customFormat="1" x14ac:dyDescent="0.3">
      <c r="A219" s="1539" t="s">
        <v>633</v>
      </c>
      <c r="B219" s="1539"/>
      <c r="C219" s="1539"/>
      <c r="D219" s="1539"/>
      <c r="E219" s="1539"/>
      <c r="F219" s="1539"/>
      <c r="G219" s="1011"/>
      <c r="I219" s="28"/>
      <c r="J219" s="29"/>
      <c r="K219" s="29"/>
      <c r="R219" s="205"/>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row>
    <row r="220" spans="1:70" s="203" customFormat="1" hidden="1" x14ac:dyDescent="0.3">
      <c r="A220" s="788" t="s">
        <v>255</v>
      </c>
      <c r="B220" s="786"/>
      <c r="C220" s="786"/>
      <c r="D220" s="786"/>
      <c r="E220" s="786"/>
      <c r="F220" s="786"/>
      <c r="G220" s="1011"/>
      <c r="R220" s="205"/>
      <c r="S220" s="205"/>
      <c r="T220" s="205"/>
      <c r="U220" s="205"/>
      <c r="V220" s="205"/>
      <c r="W220" s="205"/>
      <c r="X220" s="205"/>
      <c r="Y220" s="205"/>
      <c r="Z220" s="205"/>
      <c r="AA220" s="205"/>
      <c r="AB220" s="205"/>
      <c r="AC220" s="205"/>
      <c r="AD220" s="205"/>
      <c r="AE220" s="205"/>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05"/>
      <c r="BC220" s="205"/>
      <c r="BD220" s="205"/>
      <c r="BE220" s="205"/>
      <c r="BF220" s="205"/>
      <c r="BG220" s="205"/>
      <c r="BH220" s="205"/>
      <c r="BI220" s="205"/>
      <c r="BJ220" s="205"/>
      <c r="BK220" s="205"/>
      <c r="BL220" s="205"/>
      <c r="BM220" s="205"/>
      <c r="BN220" s="205"/>
      <c r="BO220" s="205"/>
      <c r="BP220" s="205"/>
      <c r="BQ220" s="205"/>
      <c r="BR220" s="205"/>
    </row>
    <row r="221" spans="1:70" s="203" customFormat="1" hidden="1" x14ac:dyDescent="0.3">
      <c r="A221" s="788" t="s">
        <v>109</v>
      </c>
      <c r="B221" s="786"/>
      <c r="C221" s="786"/>
      <c r="D221" s="786"/>
      <c r="E221" s="786"/>
      <c r="F221" s="786"/>
      <c r="G221" s="1011"/>
      <c r="R221" s="205"/>
      <c r="S221" s="205"/>
      <c r="T221" s="205"/>
      <c r="U221" s="205"/>
      <c r="V221" s="205"/>
      <c r="W221" s="205"/>
      <c r="X221" s="205"/>
      <c r="Y221" s="205"/>
      <c r="Z221" s="205"/>
      <c r="AA221" s="205"/>
      <c r="AB221" s="205"/>
      <c r="AC221" s="205"/>
      <c r="AD221" s="205"/>
      <c r="AE221" s="205"/>
      <c r="AF221" s="205"/>
      <c r="AG221" s="205"/>
      <c r="AH221" s="205"/>
      <c r="AI221" s="205"/>
      <c r="AJ221" s="205"/>
      <c r="AK221" s="205"/>
      <c r="AL221" s="205"/>
      <c r="AM221" s="205"/>
      <c r="AN221" s="205"/>
      <c r="AO221" s="205"/>
      <c r="AP221" s="205"/>
      <c r="AQ221" s="205"/>
      <c r="AR221" s="205"/>
      <c r="AS221" s="205"/>
      <c r="AT221" s="205"/>
      <c r="AU221" s="205"/>
      <c r="AV221" s="205"/>
      <c r="AW221" s="205"/>
      <c r="AX221" s="205"/>
      <c r="AY221" s="205"/>
      <c r="AZ221" s="205"/>
      <c r="BA221" s="205"/>
      <c r="BB221" s="205"/>
      <c r="BC221" s="205"/>
      <c r="BD221" s="205"/>
      <c r="BE221" s="205"/>
      <c r="BF221" s="205"/>
      <c r="BG221" s="205"/>
      <c r="BH221" s="205"/>
      <c r="BI221" s="205"/>
      <c r="BJ221" s="205"/>
      <c r="BK221" s="205"/>
      <c r="BL221" s="205"/>
      <c r="BM221" s="205"/>
      <c r="BN221" s="205"/>
      <c r="BO221" s="205"/>
      <c r="BP221" s="205"/>
      <c r="BQ221" s="205"/>
      <c r="BR221" s="205"/>
    </row>
    <row r="222" spans="1:70" s="203" customFormat="1" hidden="1" x14ac:dyDescent="0.3">
      <c r="A222" s="789" t="s">
        <v>79</v>
      </c>
      <c r="B222" s="790">
        <f>C194</f>
        <v>0</v>
      </c>
      <c r="C222" s="786"/>
      <c r="D222" s="786"/>
      <c r="E222" s="786"/>
      <c r="F222" s="786"/>
      <c r="G222" s="1011"/>
      <c r="R222" s="205"/>
      <c r="S222" s="205"/>
      <c r="T222" s="205"/>
      <c r="U222" s="205"/>
      <c r="V222" s="205"/>
      <c r="W222" s="205"/>
      <c r="X222" s="205"/>
      <c r="Y222" s="205"/>
      <c r="Z222" s="205"/>
      <c r="AA222" s="205"/>
      <c r="AB222" s="205"/>
      <c r="AC222" s="205"/>
      <c r="AD222" s="205"/>
      <c r="AE222" s="205"/>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05"/>
      <c r="BC222" s="205"/>
      <c r="BD222" s="205"/>
      <c r="BE222" s="205"/>
      <c r="BF222" s="205"/>
      <c r="BG222" s="205"/>
      <c r="BH222" s="205"/>
      <c r="BI222" s="205"/>
      <c r="BJ222" s="205"/>
      <c r="BK222" s="205"/>
      <c r="BL222" s="205"/>
      <c r="BM222" s="205"/>
      <c r="BN222" s="205"/>
      <c r="BO222" s="205"/>
      <c r="BP222" s="205"/>
      <c r="BQ222" s="205"/>
      <c r="BR222" s="205"/>
    </row>
    <row r="223" spans="1:70" s="203" customFormat="1" hidden="1" x14ac:dyDescent="0.3">
      <c r="A223" s="789" t="s">
        <v>78</v>
      </c>
      <c r="B223" s="790">
        <f>C195</f>
        <v>0</v>
      </c>
      <c r="C223" s="786"/>
      <c r="D223" s="786"/>
      <c r="E223" s="786"/>
      <c r="F223" s="786"/>
      <c r="G223" s="1011"/>
      <c r="R223" s="205"/>
      <c r="S223" s="205"/>
      <c r="T223" s="205"/>
      <c r="U223" s="205"/>
      <c r="V223" s="205"/>
      <c r="W223" s="205"/>
      <c r="X223" s="205"/>
      <c r="Y223" s="205"/>
      <c r="Z223" s="205"/>
      <c r="AA223" s="205"/>
      <c r="AB223" s="205"/>
      <c r="AC223" s="205"/>
      <c r="AD223" s="205"/>
      <c r="AE223" s="205"/>
      <c r="AF223" s="205"/>
      <c r="AG223" s="205"/>
      <c r="AH223" s="205"/>
      <c r="AI223" s="205"/>
      <c r="AJ223" s="205"/>
      <c r="AK223" s="205"/>
      <c r="AL223" s="205"/>
      <c r="AM223" s="205"/>
      <c r="AN223" s="205"/>
      <c r="AO223" s="205"/>
      <c r="AP223" s="205"/>
      <c r="AQ223" s="205"/>
      <c r="AR223" s="205"/>
      <c r="AS223" s="205"/>
      <c r="AT223" s="205"/>
      <c r="AU223" s="205"/>
      <c r="AV223" s="205"/>
      <c r="AW223" s="205"/>
      <c r="AX223" s="205"/>
      <c r="AY223" s="205"/>
      <c r="AZ223" s="205"/>
      <c r="BA223" s="205"/>
      <c r="BB223" s="205"/>
      <c r="BC223" s="205"/>
      <c r="BD223" s="205"/>
      <c r="BE223" s="205"/>
      <c r="BF223" s="205"/>
      <c r="BG223" s="205"/>
      <c r="BH223" s="205"/>
      <c r="BI223" s="205"/>
      <c r="BJ223" s="205"/>
      <c r="BK223" s="205"/>
      <c r="BL223" s="205"/>
      <c r="BM223" s="205"/>
      <c r="BN223" s="205"/>
      <c r="BO223" s="205"/>
      <c r="BP223" s="205"/>
      <c r="BQ223" s="205"/>
      <c r="BR223" s="205"/>
    </row>
    <row r="224" spans="1:70" s="203" customFormat="1" hidden="1" x14ac:dyDescent="0.3">
      <c r="A224" s="786" t="s">
        <v>4</v>
      </c>
      <c r="B224" s="790">
        <f>SUM(B222:B223)</f>
        <v>0</v>
      </c>
      <c r="C224" s="786"/>
      <c r="D224" s="786"/>
      <c r="E224" s="786"/>
      <c r="F224" s="786"/>
      <c r="G224" s="1011"/>
      <c r="R224" s="205"/>
      <c r="S224" s="205"/>
      <c r="T224" s="205"/>
      <c r="U224" s="205"/>
      <c r="V224" s="205"/>
      <c r="W224" s="205"/>
      <c r="X224" s="205"/>
      <c r="Y224" s="205"/>
      <c r="Z224" s="205"/>
      <c r="AA224" s="205"/>
      <c r="AB224" s="205"/>
      <c r="AC224" s="205"/>
      <c r="AD224" s="205"/>
      <c r="AE224" s="205"/>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05"/>
      <c r="BC224" s="205"/>
      <c r="BD224" s="205"/>
      <c r="BE224" s="205"/>
      <c r="BF224" s="205"/>
      <c r="BG224" s="205"/>
      <c r="BH224" s="205"/>
      <c r="BI224" s="205"/>
      <c r="BJ224" s="205"/>
      <c r="BK224" s="205"/>
      <c r="BL224" s="205"/>
      <c r="BM224" s="205"/>
      <c r="BN224" s="205"/>
      <c r="BO224" s="205"/>
      <c r="BP224" s="205"/>
      <c r="BQ224" s="205"/>
      <c r="BR224" s="205"/>
    </row>
    <row r="225" spans="1:70" s="203" customFormat="1" hidden="1" x14ac:dyDescent="0.3">
      <c r="A225" s="786"/>
      <c r="B225" s="786"/>
      <c r="C225" s="786"/>
      <c r="D225" s="786"/>
      <c r="E225" s="786"/>
      <c r="F225" s="786"/>
      <c r="G225" s="1011"/>
      <c r="R225" s="205"/>
      <c r="S225" s="205"/>
      <c r="T225" s="205"/>
      <c r="U225" s="205"/>
      <c r="V225" s="205"/>
      <c r="W225" s="205"/>
      <c r="X225" s="205"/>
      <c r="Y225" s="205"/>
      <c r="Z225" s="205"/>
      <c r="AA225" s="205"/>
      <c r="AB225" s="205"/>
      <c r="AC225" s="205"/>
      <c r="AD225" s="205"/>
      <c r="AE225" s="205"/>
      <c r="AF225" s="205"/>
      <c r="AG225" s="205"/>
      <c r="AH225" s="205"/>
      <c r="AI225" s="205"/>
      <c r="AJ225" s="205"/>
      <c r="AK225" s="205"/>
      <c r="AL225" s="205"/>
      <c r="AM225" s="205"/>
      <c r="AN225" s="205"/>
      <c r="AO225" s="205"/>
      <c r="AP225" s="205"/>
      <c r="AQ225" s="205"/>
      <c r="AR225" s="205"/>
      <c r="AS225" s="205"/>
      <c r="AT225" s="205"/>
      <c r="AU225" s="205"/>
      <c r="AV225" s="205"/>
      <c r="AW225" s="205"/>
      <c r="AX225" s="205"/>
      <c r="AY225" s="205"/>
      <c r="AZ225" s="205"/>
      <c r="BA225" s="205"/>
      <c r="BB225" s="205"/>
      <c r="BC225" s="205"/>
      <c r="BD225" s="205"/>
      <c r="BE225" s="205"/>
      <c r="BF225" s="205"/>
      <c r="BG225" s="205"/>
      <c r="BH225" s="205"/>
      <c r="BI225" s="205"/>
      <c r="BJ225" s="205"/>
      <c r="BK225" s="205"/>
      <c r="BL225" s="205"/>
      <c r="BM225" s="205"/>
      <c r="BN225" s="205"/>
      <c r="BO225" s="205"/>
      <c r="BP225" s="205"/>
      <c r="BQ225" s="205"/>
      <c r="BR225" s="205"/>
    </row>
    <row r="226" spans="1:70" s="203" customFormat="1" hidden="1" x14ac:dyDescent="0.3">
      <c r="A226" s="786" t="s">
        <v>89</v>
      </c>
      <c r="B226" s="790">
        <f>$B$7*C185/12</f>
        <v>0</v>
      </c>
      <c r="C226" s="786"/>
      <c r="D226" s="786"/>
      <c r="E226" s="786"/>
      <c r="F226" s="786"/>
      <c r="G226" s="1011"/>
      <c r="R226" s="205"/>
      <c r="S226" s="205"/>
      <c r="T226" s="205"/>
      <c r="U226" s="205"/>
      <c r="V226" s="205"/>
      <c r="W226" s="205"/>
      <c r="X226" s="205"/>
      <c r="Y226" s="205"/>
      <c r="Z226" s="205"/>
      <c r="AA226" s="205"/>
      <c r="AB226" s="205"/>
      <c r="AC226" s="205"/>
      <c r="AD226" s="205"/>
      <c r="AE226" s="205"/>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05"/>
      <c r="BC226" s="205"/>
      <c r="BD226" s="205"/>
      <c r="BE226" s="205"/>
      <c r="BF226" s="205"/>
      <c r="BG226" s="205"/>
      <c r="BH226" s="205"/>
      <c r="BI226" s="205"/>
      <c r="BJ226" s="205"/>
      <c r="BK226" s="205"/>
      <c r="BL226" s="205"/>
      <c r="BM226" s="205"/>
      <c r="BN226" s="205"/>
      <c r="BO226" s="205"/>
      <c r="BP226" s="205"/>
      <c r="BQ226" s="205"/>
      <c r="BR226" s="205"/>
    </row>
    <row r="227" spans="1:70" s="203" customFormat="1" hidden="1" x14ac:dyDescent="0.3">
      <c r="A227" s="786"/>
      <c r="B227" s="786"/>
      <c r="C227" s="786"/>
      <c r="D227" s="786"/>
      <c r="E227" s="786"/>
      <c r="F227" s="786"/>
      <c r="G227" s="1011"/>
      <c r="R227" s="205"/>
      <c r="S227" s="205"/>
      <c r="T227" s="205"/>
      <c r="U227" s="205"/>
      <c r="V227" s="205"/>
      <c r="W227" s="205"/>
      <c r="X227" s="205"/>
      <c r="Y227" s="205"/>
      <c r="Z227" s="205"/>
      <c r="AA227" s="205"/>
      <c r="AB227" s="205"/>
      <c r="AC227" s="205"/>
      <c r="AD227" s="205"/>
      <c r="AE227" s="205"/>
      <c r="AF227" s="205"/>
      <c r="AG227" s="205"/>
      <c r="AH227" s="205"/>
      <c r="AI227" s="205"/>
      <c r="AJ227" s="205"/>
      <c r="AK227" s="205"/>
      <c r="AL227" s="205"/>
      <c r="AM227" s="205"/>
      <c r="AN227" s="205"/>
      <c r="AO227" s="205"/>
      <c r="AP227" s="205"/>
      <c r="AQ227" s="205"/>
      <c r="AR227" s="205"/>
      <c r="AS227" s="205"/>
      <c r="AT227" s="205"/>
      <c r="AU227" s="205"/>
      <c r="AV227" s="205"/>
      <c r="AW227" s="205"/>
      <c r="AX227" s="205"/>
      <c r="AY227" s="205"/>
      <c r="AZ227" s="205"/>
      <c r="BA227" s="205"/>
      <c r="BB227" s="205"/>
      <c r="BC227" s="205"/>
      <c r="BD227" s="205"/>
      <c r="BE227" s="205"/>
      <c r="BF227" s="205"/>
      <c r="BG227" s="205"/>
      <c r="BH227" s="205"/>
      <c r="BI227" s="205"/>
      <c r="BJ227" s="205"/>
      <c r="BK227" s="205"/>
      <c r="BL227" s="205"/>
      <c r="BM227" s="205"/>
      <c r="BN227" s="205"/>
      <c r="BO227" s="205"/>
      <c r="BP227" s="205"/>
      <c r="BQ227" s="205"/>
      <c r="BR227" s="205"/>
    </row>
    <row r="228" spans="1:70" s="203" customFormat="1" hidden="1" x14ac:dyDescent="0.3">
      <c r="A228" s="786" t="s">
        <v>90</v>
      </c>
      <c r="B228" s="790">
        <f>B226-B224</f>
        <v>0</v>
      </c>
      <c r="C228" s="786"/>
      <c r="D228" s="786"/>
      <c r="E228" s="786"/>
      <c r="F228" s="786"/>
      <c r="G228" s="1011"/>
      <c r="R228" s="205"/>
      <c r="S228" s="205"/>
      <c r="T228" s="205"/>
      <c r="U228" s="205"/>
      <c r="V228" s="205"/>
      <c r="W228" s="205"/>
      <c r="X228" s="205"/>
      <c r="Y228" s="205"/>
      <c r="Z228" s="205"/>
      <c r="AA228" s="205"/>
      <c r="AB228" s="205"/>
      <c r="AC228" s="205"/>
      <c r="AD228" s="205"/>
      <c r="AE228" s="205"/>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05"/>
      <c r="BC228" s="205"/>
      <c r="BD228" s="205"/>
      <c r="BE228" s="205"/>
      <c r="BF228" s="205"/>
      <c r="BG228" s="205"/>
      <c r="BH228" s="205"/>
      <c r="BI228" s="205"/>
      <c r="BJ228" s="205"/>
      <c r="BK228" s="205"/>
      <c r="BL228" s="205"/>
      <c r="BM228" s="205"/>
      <c r="BN228" s="205"/>
      <c r="BO228" s="205"/>
      <c r="BP228" s="205"/>
      <c r="BQ228" s="205"/>
      <c r="BR228" s="205"/>
    </row>
    <row r="229" spans="1:70" s="203" customFormat="1" hidden="1" x14ac:dyDescent="0.3">
      <c r="A229" s="786"/>
      <c r="B229" s="790"/>
      <c r="C229" s="786"/>
      <c r="D229" s="786"/>
      <c r="E229" s="786"/>
      <c r="F229" s="786"/>
      <c r="G229" s="1011"/>
      <c r="R229" s="205"/>
      <c r="S229" s="205"/>
      <c r="T229" s="205"/>
      <c r="U229" s="205"/>
      <c r="V229" s="205"/>
      <c r="W229" s="205"/>
      <c r="X229" s="205"/>
      <c r="Y229" s="205"/>
      <c r="Z229" s="205"/>
      <c r="AA229" s="205"/>
      <c r="AB229" s="205"/>
      <c r="AC229" s="205"/>
      <c r="AD229" s="205"/>
      <c r="AE229" s="205"/>
      <c r="AF229" s="205"/>
      <c r="AG229" s="205"/>
      <c r="AH229" s="205"/>
      <c r="AI229" s="205"/>
      <c r="AJ229" s="205"/>
      <c r="AK229" s="205"/>
      <c r="AL229" s="205"/>
      <c r="AM229" s="205"/>
      <c r="AN229" s="205"/>
      <c r="AO229" s="205"/>
      <c r="AP229" s="205"/>
      <c r="AQ229" s="205"/>
      <c r="AR229" s="205"/>
      <c r="AS229" s="205"/>
      <c r="AT229" s="205"/>
      <c r="AU229" s="205"/>
      <c r="AV229" s="205"/>
      <c r="AW229" s="205"/>
      <c r="AX229" s="205"/>
      <c r="AY229" s="205"/>
      <c r="AZ229" s="205"/>
      <c r="BA229" s="205"/>
      <c r="BB229" s="205"/>
      <c r="BC229" s="205"/>
      <c r="BD229" s="205"/>
      <c r="BE229" s="205"/>
      <c r="BF229" s="205"/>
      <c r="BG229" s="205"/>
      <c r="BH229" s="205"/>
      <c r="BI229" s="205"/>
      <c r="BJ229" s="205"/>
      <c r="BK229" s="205"/>
      <c r="BL229" s="205"/>
      <c r="BM229" s="205"/>
      <c r="BN229" s="205"/>
      <c r="BO229" s="205"/>
      <c r="BP229" s="205"/>
      <c r="BQ229" s="205"/>
      <c r="BR229" s="205"/>
    </row>
    <row r="230" spans="1:70" s="203" customFormat="1" hidden="1" x14ac:dyDescent="0.3">
      <c r="A230" s="788" t="s">
        <v>110</v>
      </c>
      <c r="B230" s="786"/>
      <c r="C230" s="786"/>
      <c r="D230" s="786"/>
      <c r="E230" s="786"/>
      <c r="F230" s="786"/>
      <c r="G230" s="1011"/>
      <c r="R230" s="205"/>
      <c r="S230" s="205"/>
      <c r="T230" s="205"/>
      <c r="U230" s="205"/>
      <c r="V230" s="205"/>
      <c r="W230" s="205"/>
      <c r="X230" s="205"/>
      <c r="Y230" s="205"/>
      <c r="Z230" s="205"/>
      <c r="AA230" s="205"/>
      <c r="AB230" s="205"/>
      <c r="AC230" s="205"/>
      <c r="AD230" s="205"/>
      <c r="AE230" s="205"/>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05"/>
      <c r="BC230" s="205"/>
      <c r="BD230" s="205"/>
      <c r="BE230" s="205"/>
      <c r="BF230" s="205"/>
      <c r="BG230" s="205"/>
      <c r="BH230" s="205"/>
      <c r="BI230" s="205"/>
      <c r="BJ230" s="205"/>
      <c r="BK230" s="205"/>
      <c r="BL230" s="205"/>
      <c r="BM230" s="205"/>
      <c r="BN230" s="205"/>
      <c r="BO230" s="205"/>
      <c r="BP230" s="205"/>
      <c r="BQ230" s="205"/>
      <c r="BR230" s="205"/>
    </row>
    <row r="231" spans="1:70" s="203" customFormat="1" hidden="1" x14ac:dyDescent="0.3">
      <c r="A231" s="789" t="s">
        <v>79</v>
      </c>
      <c r="B231" s="790">
        <f>C209</f>
        <v>0</v>
      </c>
      <c r="C231" s="786"/>
      <c r="D231" s="786"/>
      <c r="E231" s="786"/>
      <c r="F231" s="786"/>
      <c r="G231" s="1011"/>
      <c r="R231" s="205"/>
      <c r="S231" s="205"/>
      <c r="T231" s="205"/>
      <c r="U231" s="205"/>
      <c r="V231" s="205"/>
      <c r="W231" s="205"/>
      <c r="X231" s="205"/>
      <c r="Y231" s="205"/>
      <c r="Z231" s="205"/>
      <c r="AA231" s="205"/>
      <c r="AB231" s="205"/>
      <c r="AC231" s="205"/>
      <c r="AD231" s="205"/>
      <c r="AE231" s="205"/>
      <c r="AF231" s="205"/>
      <c r="AG231" s="205"/>
      <c r="AH231" s="205"/>
      <c r="AI231" s="205"/>
      <c r="AJ231" s="205"/>
      <c r="AK231" s="205"/>
      <c r="AL231" s="205"/>
      <c r="AM231" s="205"/>
      <c r="AN231" s="205"/>
      <c r="AO231" s="205"/>
      <c r="AP231" s="205"/>
      <c r="AQ231" s="205"/>
      <c r="AR231" s="205"/>
      <c r="AS231" s="205"/>
      <c r="AT231" s="205"/>
      <c r="AU231" s="205"/>
      <c r="AV231" s="205"/>
      <c r="AW231" s="205"/>
      <c r="AX231" s="205"/>
      <c r="AY231" s="205"/>
      <c r="AZ231" s="205"/>
      <c r="BA231" s="205"/>
      <c r="BB231" s="205"/>
      <c r="BC231" s="205"/>
      <c r="BD231" s="205"/>
      <c r="BE231" s="205"/>
      <c r="BF231" s="205"/>
      <c r="BG231" s="205"/>
      <c r="BH231" s="205"/>
      <c r="BI231" s="205"/>
      <c r="BJ231" s="205"/>
      <c r="BK231" s="205"/>
      <c r="BL231" s="205"/>
      <c r="BM231" s="205"/>
      <c r="BN231" s="205"/>
      <c r="BO231" s="205"/>
      <c r="BP231" s="205"/>
      <c r="BQ231" s="205"/>
      <c r="BR231" s="205"/>
    </row>
    <row r="232" spans="1:70" s="203" customFormat="1" hidden="1" x14ac:dyDescent="0.3">
      <c r="A232" s="789" t="s">
        <v>78</v>
      </c>
      <c r="B232" s="790">
        <f>C210</f>
        <v>0</v>
      </c>
      <c r="C232" s="786"/>
      <c r="D232" s="786"/>
      <c r="E232" s="786"/>
      <c r="F232" s="786"/>
      <c r="G232" s="1011"/>
      <c r="R232" s="205"/>
      <c r="S232" s="205"/>
      <c r="T232" s="205"/>
      <c r="U232" s="205"/>
      <c r="V232" s="205"/>
      <c r="W232" s="205"/>
      <c r="X232" s="205"/>
      <c r="Y232" s="205"/>
      <c r="Z232" s="205"/>
      <c r="AA232" s="205"/>
      <c r="AB232" s="205"/>
      <c r="AC232" s="205"/>
      <c r="AD232" s="205"/>
      <c r="AE232" s="205"/>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05"/>
      <c r="BC232" s="205"/>
      <c r="BD232" s="205"/>
      <c r="BE232" s="205"/>
      <c r="BF232" s="205"/>
      <c r="BG232" s="205"/>
      <c r="BH232" s="205"/>
      <c r="BI232" s="205"/>
      <c r="BJ232" s="205"/>
      <c r="BK232" s="205"/>
      <c r="BL232" s="205"/>
      <c r="BM232" s="205"/>
      <c r="BN232" s="205"/>
      <c r="BO232" s="205"/>
      <c r="BP232" s="205"/>
      <c r="BQ232" s="205"/>
      <c r="BR232" s="205"/>
    </row>
    <row r="233" spans="1:70" s="203" customFormat="1" hidden="1" x14ac:dyDescent="0.3">
      <c r="A233" s="786" t="s">
        <v>4</v>
      </c>
      <c r="B233" s="790">
        <f>SUM(B231:B232)</f>
        <v>0</v>
      </c>
      <c r="C233" s="786"/>
      <c r="D233" s="786"/>
      <c r="E233" s="786"/>
      <c r="F233" s="786"/>
      <c r="G233" s="1011"/>
      <c r="R233" s="205"/>
      <c r="S233" s="205"/>
      <c r="T233" s="205"/>
      <c r="U233" s="205"/>
      <c r="V233" s="205"/>
      <c r="W233" s="205"/>
      <c r="X233" s="205"/>
      <c r="Y233" s="205"/>
      <c r="Z233" s="205"/>
      <c r="AA233" s="205"/>
      <c r="AB233" s="205"/>
      <c r="AC233" s="205"/>
      <c r="AD233" s="205"/>
      <c r="AE233" s="205"/>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05"/>
      <c r="BC233" s="205"/>
      <c r="BD233" s="205"/>
      <c r="BE233" s="205"/>
      <c r="BF233" s="205"/>
      <c r="BG233" s="205"/>
      <c r="BH233" s="205"/>
      <c r="BI233" s="205"/>
      <c r="BJ233" s="205"/>
      <c r="BK233" s="205"/>
      <c r="BL233" s="205"/>
      <c r="BM233" s="205"/>
      <c r="BN233" s="205"/>
      <c r="BO233" s="205"/>
      <c r="BP233" s="205"/>
      <c r="BQ233" s="205"/>
      <c r="BR233" s="205"/>
    </row>
    <row r="234" spans="1:70" s="203" customFormat="1" hidden="1" x14ac:dyDescent="0.3">
      <c r="A234" s="786"/>
      <c r="B234" s="786"/>
      <c r="C234" s="786"/>
      <c r="D234" s="786"/>
      <c r="E234" s="786"/>
      <c r="F234" s="786"/>
      <c r="G234" s="1011"/>
      <c r="R234" s="205"/>
      <c r="S234" s="205"/>
      <c r="T234" s="205"/>
      <c r="U234" s="205"/>
      <c r="V234" s="205"/>
      <c r="W234" s="205"/>
      <c r="X234" s="205"/>
      <c r="Y234" s="205"/>
      <c r="Z234" s="205"/>
      <c r="AA234" s="205"/>
      <c r="AB234" s="205"/>
      <c r="AC234" s="205"/>
      <c r="AD234" s="205"/>
      <c r="AE234" s="205"/>
      <c r="AF234" s="205"/>
      <c r="AG234" s="205"/>
      <c r="AH234" s="205"/>
      <c r="AI234" s="205"/>
      <c r="AJ234" s="205"/>
      <c r="AK234" s="205"/>
      <c r="AL234" s="205"/>
      <c r="AM234" s="205"/>
      <c r="AN234" s="205"/>
      <c r="AO234" s="205"/>
      <c r="AP234" s="205"/>
      <c r="AQ234" s="205"/>
      <c r="AR234" s="205"/>
      <c r="AS234" s="205"/>
      <c r="AT234" s="205"/>
      <c r="AU234" s="205"/>
      <c r="AV234" s="205"/>
      <c r="AW234" s="205"/>
      <c r="AX234" s="205"/>
      <c r="AY234" s="205"/>
      <c r="AZ234" s="205"/>
      <c r="BA234" s="205"/>
      <c r="BB234" s="205"/>
      <c r="BC234" s="205"/>
      <c r="BD234" s="205"/>
      <c r="BE234" s="205"/>
      <c r="BF234" s="205"/>
      <c r="BG234" s="205"/>
      <c r="BH234" s="205"/>
      <c r="BI234" s="205"/>
      <c r="BJ234" s="205"/>
      <c r="BK234" s="205"/>
      <c r="BL234" s="205"/>
      <c r="BM234" s="205"/>
      <c r="BN234" s="205"/>
      <c r="BO234" s="205"/>
      <c r="BP234" s="205"/>
      <c r="BQ234" s="205"/>
      <c r="BR234" s="205"/>
    </row>
    <row r="235" spans="1:70" s="203" customFormat="1" hidden="1" x14ac:dyDescent="0.3">
      <c r="A235" s="786" t="s">
        <v>89</v>
      </c>
      <c r="B235" s="790">
        <f>$B$7*C200/12</f>
        <v>0</v>
      </c>
      <c r="C235" s="786"/>
      <c r="D235" s="786"/>
      <c r="E235" s="786"/>
      <c r="F235" s="786"/>
      <c r="G235" s="1011"/>
      <c r="R235" s="205"/>
      <c r="S235" s="205"/>
      <c r="T235" s="205"/>
      <c r="U235" s="205"/>
      <c r="V235" s="205"/>
      <c r="W235" s="205"/>
      <c r="X235" s="205"/>
      <c r="Y235" s="205"/>
      <c r="Z235" s="205"/>
      <c r="AA235" s="205"/>
      <c r="AB235" s="205"/>
      <c r="AC235" s="205"/>
      <c r="AD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05"/>
      <c r="BC235" s="205"/>
      <c r="BD235" s="205"/>
      <c r="BE235" s="205"/>
      <c r="BF235" s="205"/>
      <c r="BG235" s="205"/>
      <c r="BH235" s="205"/>
      <c r="BI235" s="205"/>
      <c r="BJ235" s="205"/>
      <c r="BK235" s="205"/>
      <c r="BL235" s="205"/>
      <c r="BM235" s="205"/>
      <c r="BN235" s="205"/>
      <c r="BO235" s="205"/>
      <c r="BP235" s="205"/>
      <c r="BQ235" s="205"/>
      <c r="BR235" s="205"/>
    </row>
    <row r="236" spans="1:70" s="203" customFormat="1" hidden="1" x14ac:dyDescent="0.3">
      <c r="A236" s="786"/>
      <c r="B236" s="786"/>
      <c r="C236" s="786"/>
      <c r="D236" s="786"/>
      <c r="E236" s="786"/>
      <c r="F236" s="786"/>
      <c r="G236" s="1011"/>
      <c r="R236" s="205"/>
      <c r="S236" s="205"/>
      <c r="T236" s="205"/>
      <c r="U236" s="205"/>
      <c r="V236" s="205"/>
      <c r="W236" s="205"/>
      <c r="X236" s="205"/>
      <c r="Y236" s="205"/>
      <c r="Z236" s="205"/>
      <c r="AA236" s="205"/>
      <c r="AB236" s="205"/>
      <c r="AC236" s="205"/>
      <c r="AD236" s="205"/>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05"/>
      <c r="BC236" s="205"/>
      <c r="BD236" s="205"/>
      <c r="BE236" s="205"/>
      <c r="BF236" s="205"/>
      <c r="BG236" s="205"/>
      <c r="BH236" s="205"/>
      <c r="BI236" s="205"/>
      <c r="BJ236" s="205"/>
      <c r="BK236" s="205"/>
      <c r="BL236" s="205"/>
      <c r="BM236" s="205"/>
      <c r="BN236" s="205"/>
      <c r="BO236" s="205"/>
      <c r="BP236" s="205"/>
      <c r="BQ236" s="205"/>
      <c r="BR236" s="205"/>
    </row>
    <row r="237" spans="1:70" s="203" customFormat="1" hidden="1" x14ac:dyDescent="0.3">
      <c r="A237" s="786" t="s">
        <v>90</v>
      </c>
      <c r="B237" s="790">
        <f>B235-B233</f>
        <v>0</v>
      </c>
      <c r="C237" s="786"/>
      <c r="D237" s="786"/>
      <c r="E237" s="786"/>
      <c r="F237" s="786"/>
      <c r="G237" s="1011"/>
      <c r="R237" s="205"/>
      <c r="S237" s="205"/>
      <c r="T237" s="205"/>
      <c r="U237" s="205"/>
      <c r="V237" s="205"/>
      <c r="W237" s="205"/>
      <c r="X237" s="205"/>
      <c r="Y237" s="205"/>
      <c r="Z237" s="205"/>
      <c r="AA237" s="205"/>
      <c r="AB237" s="205"/>
      <c r="AC237" s="205"/>
      <c r="AD237" s="205"/>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05"/>
      <c r="BC237" s="205"/>
      <c r="BD237" s="205"/>
      <c r="BE237" s="205"/>
      <c r="BF237" s="205"/>
      <c r="BG237" s="205"/>
      <c r="BH237" s="205"/>
      <c r="BI237" s="205"/>
      <c r="BJ237" s="205"/>
      <c r="BK237" s="205"/>
      <c r="BL237" s="205"/>
      <c r="BM237" s="205"/>
      <c r="BN237" s="205"/>
      <c r="BO237" s="205"/>
      <c r="BP237" s="205"/>
      <c r="BQ237" s="205"/>
      <c r="BR237" s="205"/>
    </row>
    <row r="238" spans="1:70" s="203" customFormat="1" x14ac:dyDescent="0.3">
      <c r="A238" s="773"/>
      <c r="B238" s="773"/>
      <c r="C238" s="773"/>
      <c r="D238" s="773"/>
      <c r="E238" s="773"/>
      <c r="F238" s="773"/>
      <c r="G238" s="773"/>
      <c r="R238" s="205"/>
      <c r="S238" s="205"/>
      <c r="T238" s="205"/>
      <c r="U238" s="205"/>
      <c r="V238" s="205"/>
      <c r="W238" s="205"/>
      <c r="X238" s="205"/>
      <c r="Y238" s="205"/>
      <c r="Z238" s="205"/>
      <c r="AA238" s="205"/>
      <c r="AB238" s="205"/>
      <c r="AC238" s="205"/>
      <c r="AD238" s="205"/>
      <c r="AE238" s="205"/>
      <c r="AF238" s="205"/>
      <c r="AG238" s="205"/>
      <c r="AH238" s="205"/>
      <c r="AI238" s="205"/>
      <c r="AJ238" s="205"/>
      <c r="AK238" s="205"/>
      <c r="AL238" s="205"/>
      <c r="AM238" s="205"/>
      <c r="AN238" s="205"/>
      <c r="AO238" s="205"/>
      <c r="AP238" s="205"/>
      <c r="AQ238" s="205"/>
      <c r="AR238" s="205"/>
      <c r="AS238" s="205"/>
      <c r="AT238" s="205"/>
      <c r="AU238" s="205"/>
      <c r="AV238" s="205"/>
      <c r="AW238" s="205"/>
      <c r="AX238" s="205"/>
      <c r="AY238" s="205"/>
      <c r="AZ238" s="205"/>
      <c r="BA238" s="205"/>
      <c r="BB238" s="205"/>
      <c r="BC238" s="205"/>
      <c r="BD238" s="205"/>
      <c r="BE238" s="205"/>
      <c r="BF238" s="205"/>
      <c r="BG238" s="205"/>
      <c r="BH238" s="205"/>
      <c r="BI238" s="205"/>
      <c r="BJ238" s="205"/>
      <c r="BK238" s="205"/>
      <c r="BL238" s="205"/>
      <c r="BM238" s="205"/>
      <c r="BN238" s="205"/>
      <c r="BO238" s="205"/>
      <c r="BP238" s="205"/>
      <c r="BQ238" s="205"/>
      <c r="BR238" s="205"/>
    </row>
    <row r="239" spans="1:70" s="203" customFormat="1" x14ac:dyDescent="0.3">
      <c r="A239" s="773"/>
      <c r="B239" s="773"/>
      <c r="C239" s="773"/>
      <c r="D239" s="773"/>
      <c r="E239" s="773"/>
      <c r="F239" s="773"/>
      <c r="G239" s="773"/>
      <c r="R239" s="205"/>
      <c r="S239" s="205"/>
      <c r="T239" s="205"/>
      <c r="U239" s="205"/>
      <c r="V239" s="205"/>
      <c r="W239" s="205"/>
      <c r="X239" s="205"/>
      <c r="Y239" s="205"/>
      <c r="Z239" s="205"/>
      <c r="AA239" s="205"/>
      <c r="AB239" s="205"/>
      <c r="AC239" s="205"/>
      <c r="AD239" s="205"/>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05"/>
      <c r="BC239" s="205"/>
      <c r="BD239" s="205"/>
      <c r="BE239" s="205"/>
      <c r="BF239" s="205"/>
      <c r="BG239" s="205"/>
      <c r="BH239" s="205"/>
      <c r="BI239" s="205"/>
      <c r="BJ239" s="205"/>
      <c r="BK239" s="205"/>
      <c r="BL239" s="205"/>
      <c r="BM239" s="205"/>
      <c r="BN239" s="205"/>
      <c r="BO239" s="205"/>
      <c r="BP239" s="205"/>
      <c r="BQ239" s="205"/>
      <c r="BR239" s="205"/>
    </row>
    <row r="240" spans="1:70" s="203" customFormat="1" x14ac:dyDescent="0.3">
      <c r="A240" s="1540" t="s">
        <v>256</v>
      </c>
      <c r="B240" s="1540"/>
      <c r="C240" s="1540"/>
      <c r="D240" s="1540"/>
      <c r="E240" s="1540"/>
      <c r="F240" s="1540"/>
      <c r="G240" s="1011"/>
      <c r="H240" s="26"/>
      <c r="I240" s="26"/>
      <c r="R240" s="205"/>
      <c r="S240" s="205"/>
      <c r="T240" s="205"/>
      <c r="U240" s="205"/>
      <c r="V240" s="205"/>
      <c r="W240" s="205"/>
      <c r="X240" s="205"/>
      <c r="Y240" s="205"/>
      <c r="Z240" s="205"/>
      <c r="AA240" s="205"/>
      <c r="AB240" s="205"/>
      <c r="AC240" s="205"/>
      <c r="AD240" s="205"/>
      <c r="AE240" s="205"/>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05"/>
      <c r="BC240" s="205"/>
      <c r="BD240" s="205"/>
      <c r="BE240" s="205"/>
      <c r="BF240" s="205"/>
      <c r="BG240" s="205"/>
      <c r="BH240" s="205"/>
      <c r="BI240" s="205"/>
      <c r="BJ240" s="205"/>
      <c r="BK240" s="205"/>
      <c r="BL240" s="205"/>
      <c r="BM240" s="205"/>
      <c r="BN240" s="205"/>
      <c r="BO240" s="205"/>
      <c r="BP240" s="205"/>
      <c r="BQ240" s="205"/>
      <c r="BR240" s="205"/>
    </row>
    <row r="241" spans="1:70" s="203" customFormat="1" x14ac:dyDescent="0.3">
      <c r="A241" s="597" t="s">
        <v>109</v>
      </c>
      <c r="B241" s="784"/>
      <c r="C241" s="771"/>
      <c r="D241" s="772"/>
      <c r="E241" s="772"/>
      <c r="F241" s="772"/>
      <c r="G241" s="1011"/>
      <c r="H241" s="26"/>
      <c r="I241" s="26"/>
      <c r="R241" s="205"/>
      <c r="S241" s="205"/>
      <c r="T241" s="205"/>
      <c r="U241" s="205"/>
      <c r="V241" s="205"/>
      <c r="W241" s="205"/>
      <c r="X241" s="205"/>
      <c r="Y241" s="205"/>
      <c r="Z241" s="205"/>
      <c r="AA241" s="205"/>
      <c r="AB241" s="205"/>
      <c r="AC241" s="205"/>
      <c r="AD241" s="205"/>
      <c r="AE241" s="205"/>
      <c r="AF241" s="205"/>
      <c r="AG241" s="205"/>
      <c r="AH241" s="205"/>
      <c r="AI241" s="205"/>
      <c r="AJ241" s="205"/>
      <c r="AK241" s="205"/>
      <c r="AL241" s="205"/>
      <c r="AM241" s="205"/>
      <c r="AN241" s="205"/>
      <c r="AO241" s="205"/>
      <c r="AP241" s="205"/>
      <c r="AQ241" s="205"/>
      <c r="AR241" s="205"/>
      <c r="AS241" s="205"/>
      <c r="AT241" s="205"/>
      <c r="AU241" s="205"/>
      <c r="AV241" s="205"/>
      <c r="AW241" s="205"/>
      <c r="AX241" s="205"/>
      <c r="AY241" s="205"/>
      <c r="AZ241" s="205"/>
      <c r="BA241" s="205"/>
      <c r="BB241" s="205"/>
      <c r="BC241" s="205"/>
      <c r="BD241" s="205"/>
      <c r="BE241" s="205"/>
      <c r="BF241" s="205"/>
      <c r="BG241" s="205"/>
      <c r="BH241" s="205"/>
      <c r="BI241" s="205"/>
      <c r="BJ241" s="205"/>
      <c r="BK241" s="205"/>
      <c r="BL241" s="205"/>
      <c r="BM241" s="205"/>
      <c r="BN241" s="205"/>
      <c r="BO241" s="205"/>
      <c r="BP241" s="205"/>
      <c r="BQ241" s="205"/>
      <c r="BR241" s="205"/>
    </row>
    <row r="242" spans="1:70" s="203" customFormat="1" x14ac:dyDescent="0.3">
      <c r="A242" s="593" t="s">
        <v>629</v>
      </c>
      <c r="B242" s="998"/>
      <c r="C242" s="1452">
        <v>0</v>
      </c>
      <c r="D242" s="774"/>
      <c r="E242" s="774"/>
      <c r="F242" s="774"/>
      <c r="G242" s="1011"/>
      <c r="H242" s="30"/>
      <c r="I242" s="30"/>
      <c r="J242" s="205"/>
      <c r="K242" s="205"/>
      <c r="L242" s="205"/>
      <c r="M242" s="205"/>
      <c r="N242" s="205"/>
      <c r="O242" s="205"/>
      <c r="P242" s="205"/>
      <c r="Q242" s="205"/>
      <c r="R242" s="205"/>
      <c r="S242" s="205"/>
      <c r="T242" s="205"/>
      <c r="U242" s="205"/>
      <c r="V242" s="205"/>
      <c r="W242" s="205"/>
      <c r="X242" s="205"/>
      <c r="Y242" s="205"/>
      <c r="Z242" s="205"/>
      <c r="AA242" s="205"/>
      <c r="AB242" s="205"/>
      <c r="AC242" s="205"/>
      <c r="AD242" s="205"/>
      <c r="AE242" s="205"/>
      <c r="AF242" s="205"/>
      <c r="AG242" s="205"/>
      <c r="AH242" s="205"/>
      <c r="AI242" s="205"/>
      <c r="AJ242" s="205"/>
      <c r="AK242" s="205"/>
      <c r="AL242" s="205"/>
      <c r="AM242" s="205"/>
      <c r="AN242" s="205"/>
      <c r="AO242" s="205"/>
      <c r="AP242" s="205"/>
      <c r="AQ242" s="205"/>
      <c r="AR242" s="205"/>
      <c r="AS242" s="205"/>
      <c r="AT242" s="205"/>
      <c r="AU242" s="205"/>
      <c r="AV242" s="205"/>
      <c r="AW242" s="205"/>
      <c r="AX242" s="205"/>
      <c r="AY242" s="205"/>
      <c r="AZ242" s="205"/>
      <c r="BA242" s="205"/>
      <c r="BB242" s="205"/>
      <c r="BC242" s="205"/>
      <c r="BD242" s="205"/>
      <c r="BE242" s="205"/>
      <c r="BF242" s="205"/>
      <c r="BG242" s="205"/>
      <c r="BH242" s="205"/>
      <c r="BI242" s="205"/>
      <c r="BJ242" s="205"/>
      <c r="BK242" s="205"/>
      <c r="BL242" s="205"/>
      <c r="BM242" s="205"/>
      <c r="BN242" s="205"/>
      <c r="BO242" s="205"/>
      <c r="BP242" s="205"/>
      <c r="BQ242" s="205"/>
      <c r="BR242" s="205"/>
    </row>
    <row r="243" spans="1:70" s="207" customFormat="1" x14ac:dyDescent="0.3">
      <c r="A243" s="592"/>
      <c r="B243" s="999"/>
      <c r="C243" s="592"/>
      <c r="D243" s="774"/>
      <c r="E243" s="774"/>
      <c r="F243" s="774"/>
      <c r="G243" s="1011"/>
      <c r="H243" s="35"/>
      <c r="I243" s="35"/>
      <c r="J243" s="206"/>
      <c r="K243" s="206"/>
      <c r="L243" s="206"/>
      <c r="M243" s="206"/>
      <c r="N243" s="206"/>
      <c r="O243" s="206"/>
      <c r="P243" s="206"/>
      <c r="Q243" s="206"/>
      <c r="R243" s="205"/>
      <c r="S243" s="205"/>
      <c r="T243" s="205"/>
      <c r="U243" s="205"/>
      <c r="V243" s="205"/>
      <c r="W243" s="205"/>
      <c r="X243" s="205"/>
      <c r="Y243" s="205"/>
      <c r="Z243" s="205"/>
      <c r="AA243" s="205"/>
      <c r="AB243" s="205"/>
      <c r="AC243" s="205"/>
      <c r="AD243" s="205"/>
      <c r="AE243" s="205"/>
      <c r="AF243" s="205"/>
      <c r="AG243" s="205"/>
      <c r="AH243" s="205"/>
      <c r="AI243" s="205"/>
      <c r="AJ243" s="205"/>
      <c r="AK243" s="205"/>
      <c r="AL243" s="205"/>
      <c r="AM243" s="205"/>
      <c r="AN243" s="205"/>
      <c r="AO243" s="205"/>
      <c r="AP243" s="205"/>
      <c r="AQ243" s="205"/>
      <c r="AR243" s="205"/>
      <c r="AS243" s="205"/>
      <c r="AT243" s="205"/>
      <c r="AU243" s="205"/>
      <c r="AV243" s="205"/>
      <c r="AW243" s="205"/>
      <c r="AX243" s="205"/>
      <c r="AY243" s="205"/>
      <c r="AZ243" s="205"/>
      <c r="BA243" s="205"/>
      <c r="BB243" s="205"/>
      <c r="BC243" s="205"/>
      <c r="BD243" s="205"/>
      <c r="BE243" s="205"/>
      <c r="BF243" s="205"/>
      <c r="BG243" s="205"/>
      <c r="BH243" s="205"/>
      <c r="BI243" s="205"/>
      <c r="BJ243" s="205"/>
      <c r="BK243" s="205"/>
      <c r="BL243" s="205"/>
      <c r="BM243" s="205"/>
      <c r="BN243" s="205"/>
      <c r="BO243" s="205"/>
      <c r="BP243" s="205"/>
      <c r="BQ243" s="205"/>
      <c r="BR243" s="205"/>
    </row>
    <row r="244" spans="1:70" s="203" customFormat="1" ht="15" thickBot="1" x14ac:dyDescent="0.35">
      <c r="A244" s="593" t="s">
        <v>239</v>
      </c>
      <c r="B244" s="998"/>
      <c r="C244" s="809">
        <f>B285</f>
        <v>0</v>
      </c>
      <c r="D244" s="775"/>
      <c r="E244" s="775"/>
      <c r="F244" s="775"/>
      <c r="G244" s="1011"/>
      <c r="I244" s="28"/>
      <c r="J244" s="29"/>
      <c r="K244" s="29"/>
      <c r="R244" s="205"/>
      <c r="S244" s="205"/>
      <c r="T244" s="205"/>
      <c r="U244" s="205"/>
      <c r="V244" s="205"/>
      <c r="W244" s="205"/>
      <c r="X244" s="205"/>
      <c r="Y244" s="205"/>
      <c r="Z244" s="205"/>
      <c r="AA244" s="205"/>
      <c r="AB244" s="205"/>
      <c r="AC244" s="205"/>
      <c r="AD244" s="205"/>
      <c r="AE244" s="205"/>
      <c r="AF244" s="205"/>
      <c r="AG244" s="205"/>
      <c r="AH244" s="205"/>
      <c r="AI244" s="205"/>
      <c r="AJ244" s="205"/>
      <c r="AK244" s="205"/>
      <c r="AL244" s="205"/>
      <c r="AM244" s="205"/>
      <c r="AN244" s="205"/>
      <c r="AO244" s="205"/>
      <c r="AP244" s="205"/>
      <c r="AQ244" s="205"/>
      <c r="AR244" s="205"/>
      <c r="AS244" s="205"/>
      <c r="AT244" s="205"/>
      <c r="AU244" s="205"/>
      <c r="AV244" s="205"/>
      <c r="AW244" s="205"/>
      <c r="AX244" s="205"/>
      <c r="AY244" s="205"/>
      <c r="AZ244" s="205"/>
      <c r="BA244" s="205"/>
      <c r="BB244" s="205"/>
      <c r="BC244" s="205"/>
      <c r="BD244" s="205"/>
      <c r="BE244" s="205"/>
      <c r="BF244" s="205"/>
      <c r="BG244" s="205"/>
      <c r="BH244" s="205"/>
      <c r="BI244" s="205"/>
      <c r="BJ244" s="205"/>
      <c r="BK244" s="205"/>
      <c r="BL244" s="205"/>
      <c r="BM244" s="205"/>
      <c r="BN244" s="205"/>
      <c r="BO244" s="205"/>
      <c r="BP244" s="205"/>
      <c r="BQ244" s="205"/>
      <c r="BR244" s="205"/>
    </row>
    <row r="245" spans="1:70" s="203" customFormat="1" ht="15.6" thickTop="1" thickBot="1" x14ac:dyDescent="0.35">
      <c r="A245" s="593" t="s">
        <v>242</v>
      </c>
      <c r="B245" s="998"/>
      <c r="C245" s="599" t="s">
        <v>59</v>
      </c>
      <c r="D245" s="998"/>
      <c r="E245" s="775"/>
      <c r="F245" s="775"/>
      <c r="G245" s="1011"/>
      <c r="I245" s="28"/>
      <c r="J245" s="29"/>
      <c r="K245" s="29"/>
      <c r="R245" s="205"/>
      <c r="S245" s="205"/>
      <c r="T245" s="205"/>
      <c r="U245" s="205"/>
      <c r="V245" s="205"/>
      <c r="W245" s="205"/>
      <c r="X245" s="205"/>
      <c r="Y245" s="205"/>
      <c r="Z245" s="205"/>
      <c r="AA245" s="205"/>
      <c r="AB245" s="205"/>
      <c r="AC245" s="205"/>
      <c r="AD245" s="205"/>
      <c r="AE245" s="205"/>
      <c r="AF245" s="205"/>
      <c r="AG245" s="205"/>
      <c r="AH245" s="205"/>
      <c r="AI245" s="205"/>
      <c r="AJ245" s="205"/>
      <c r="AK245" s="205"/>
      <c r="AL245" s="205"/>
      <c r="AM245" s="205"/>
      <c r="AN245" s="205"/>
      <c r="AO245" s="205"/>
      <c r="AP245" s="205"/>
      <c r="AQ245" s="205"/>
      <c r="AR245" s="205"/>
      <c r="AS245" s="205"/>
      <c r="AT245" s="205"/>
      <c r="AU245" s="205"/>
      <c r="AV245" s="205"/>
      <c r="AW245" s="205"/>
      <c r="AX245" s="205"/>
      <c r="AY245" s="205"/>
      <c r="AZ245" s="205"/>
      <c r="BA245" s="205"/>
      <c r="BB245" s="205"/>
      <c r="BC245" s="205"/>
      <c r="BD245" s="205"/>
      <c r="BE245" s="205"/>
      <c r="BF245" s="205"/>
      <c r="BG245" s="205"/>
      <c r="BH245" s="205"/>
      <c r="BI245" s="205"/>
      <c r="BJ245" s="205"/>
      <c r="BK245" s="205"/>
      <c r="BL245" s="205"/>
      <c r="BM245" s="205"/>
      <c r="BN245" s="205"/>
      <c r="BO245" s="205"/>
      <c r="BP245" s="205"/>
      <c r="BQ245" s="205"/>
      <c r="BR245" s="205"/>
    </row>
    <row r="246" spans="1:70" s="203" customFormat="1" ht="15" thickTop="1" x14ac:dyDescent="0.3">
      <c r="A246" s="593" t="s">
        <v>247</v>
      </c>
      <c r="B246" s="998"/>
      <c r="C246" s="998"/>
      <c r="D246" s="1005"/>
      <c r="E246" s="775"/>
      <c r="F246" s="775"/>
      <c r="G246" s="1011"/>
      <c r="I246" s="28"/>
      <c r="J246" s="29"/>
      <c r="K246" s="29"/>
      <c r="R246" s="205"/>
      <c r="S246" s="205"/>
      <c r="T246" s="205"/>
      <c r="U246" s="205"/>
      <c r="V246" s="205"/>
      <c r="W246" s="205"/>
      <c r="X246" s="205"/>
      <c r="Y246" s="205"/>
      <c r="Z246" s="205"/>
      <c r="AA246" s="205"/>
      <c r="AB246" s="205"/>
      <c r="AC246" s="205"/>
      <c r="AD246" s="205"/>
      <c r="AE246" s="205"/>
      <c r="AF246" s="205"/>
      <c r="AG246" s="205"/>
      <c r="AH246" s="205"/>
      <c r="AI246" s="205"/>
      <c r="AJ246" s="205"/>
      <c r="AK246" s="205"/>
      <c r="AL246" s="205"/>
      <c r="AM246" s="205"/>
      <c r="AN246" s="205"/>
      <c r="AO246" s="205"/>
      <c r="AP246" s="205"/>
      <c r="AQ246" s="205"/>
      <c r="AR246" s="205"/>
      <c r="AS246" s="205"/>
      <c r="AT246" s="205"/>
      <c r="AU246" s="205"/>
      <c r="AV246" s="205"/>
      <c r="AW246" s="205"/>
      <c r="AX246" s="205"/>
      <c r="AY246" s="205"/>
      <c r="AZ246" s="205"/>
      <c r="BA246" s="205"/>
      <c r="BB246" s="205"/>
      <c r="BC246" s="205"/>
      <c r="BD246" s="205"/>
      <c r="BE246" s="205"/>
      <c r="BF246" s="205"/>
      <c r="BG246" s="205"/>
      <c r="BH246" s="205"/>
      <c r="BI246" s="205"/>
      <c r="BJ246" s="205"/>
      <c r="BK246" s="205"/>
      <c r="BL246" s="205"/>
      <c r="BM246" s="205"/>
      <c r="BN246" s="205"/>
      <c r="BO246" s="205"/>
      <c r="BP246" s="205"/>
      <c r="BQ246" s="205"/>
      <c r="BR246" s="205"/>
    </row>
    <row r="247" spans="1:70" s="203" customFormat="1" x14ac:dyDescent="0.3">
      <c r="A247" s="593" t="s">
        <v>248</v>
      </c>
      <c r="B247" s="998"/>
      <c r="C247" s="998"/>
      <c r="D247" s="1005"/>
      <c r="E247" s="775"/>
      <c r="F247" s="775"/>
      <c r="G247" s="1011"/>
      <c r="I247" s="28"/>
      <c r="J247" s="29"/>
      <c r="K247" s="29"/>
      <c r="R247" s="205"/>
      <c r="S247" s="205"/>
      <c r="T247" s="205"/>
      <c r="U247" s="205"/>
      <c r="V247" s="205"/>
      <c r="W247" s="205"/>
      <c r="X247" s="205"/>
      <c r="Y247" s="205"/>
      <c r="Z247" s="205"/>
      <c r="AA247" s="205"/>
      <c r="AB247" s="205"/>
      <c r="AC247" s="205"/>
      <c r="AD247" s="205"/>
      <c r="AE247" s="205"/>
      <c r="AF247" s="205"/>
      <c r="AG247" s="205"/>
      <c r="AH247" s="205"/>
      <c r="AI247" s="205"/>
      <c r="AJ247" s="205"/>
      <c r="AK247" s="205"/>
      <c r="AL247" s="205"/>
      <c r="AM247" s="205"/>
      <c r="AN247" s="205"/>
      <c r="AO247" s="205"/>
      <c r="AP247" s="205"/>
      <c r="AQ247" s="205"/>
      <c r="AR247" s="205"/>
      <c r="AS247" s="205"/>
      <c r="AT247" s="205"/>
      <c r="AU247" s="205"/>
      <c r="AV247" s="205"/>
      <c r="AW247" s="205"/>
      <c r="AX247" s="205"/>
      <c r="AY247" s="205"/>
      <c r="AZ247" s="205"/>
      <c r="BA247" s="205"/>
      <c r="BB247" s="205"/>
      <c r="BC247" s="205"/>
      <c r="BD247" s="205"/>
      <c r="BE247" s="205"/>
      <c r="BF247" s="205"/>
      <c r="BG247" s="205"/>
      <c r="BH247" s="205"/>
      <c r="BI247" s="205"/>
      <c r="BJ247" s="205"/>
      <c r="BK247" s="205"/>
      <c r="BL247" s="205"/>
      <c r="BM247" s="205"/>
      <c r="BN247" s="205"/>
      <c r="BO247" s="205"/>
      <c r="BP247" s="205"/>
      <c r="BQ247" s="205"/>
      <c r="BR247" s="205"/>
    </row>
    <row r="248" spans="1:70" s="203" customFormat="1" x14ac:dyDescent="0.3">
      <c r="A248" s="593" t="s">
        <v>243</v>
      </c>
      <c r="B248" s="998"/>
      <c r="C248" s="600">
        <v>0</v>
      </c>
      <c r="D248" s="774"/>
      <c r="E248" s="774"/>
      <c r="F248" s="774"/>
      <c r="G248" s="1011"/>
      <c r="I248" s="26"/>
      <c r="R248" s="205"/>
      <c r="S248" s="205"/>
      <c r="T248" s="205"/>
      <c r="U248" s="205"/>
      <c r="V248" s="205"/>
      <c r="W248" s="205"/>
      <c r="X248" s="205"/>
      <c r="Y248" s="205"/>
      <c r="Z248" s="205"/>
      <c r="AA248" s="205"/>
      <c r="AB248" s="205"/>
      <c r="AC248" s="205"/>
      <c r="AD248" s="205"/>
      <c r="AE248" s="205"/>
      <c r="AF248" s="205"/>
      <c r="AG248" s="205"/>
      <c r="AH248" s="205"/>
      <c r="AI248" s="205"/>
      <c r="AJ248" s="205"/>
      <c r="AK248" s="205"/>
      <c r="AL248" s="205"/>
      <c r="AM248" s="205"/>
      <c r="AN248" s="205"/>
      <c r="AO248" s="205"/>
      <c r="AP248" s="205"/>
      <c r="AQ248" s="205"/>
      <c r="AR248" s="205"/>
      <c r="AS248" s="205"/>
      <c r="AT248" s="205"/>
      <c r="AU248" s="205"/>
      <c r="AV248" s="205"/>
      <c r="AW248" s="205"/>
      <c r="AX248" s="205"/>
      <c r="AY248" s="205"/>
      <c r="AZ248" s="205"/>
      <c r="BA248" s="205"/>
      <c r="BB248" s="205"/>
      <c r="BC248" s="205"/>
      <c r="BD248" s="205"/>
      <c r="BE248" s="205"/>
      <c r="BF248" s="205"/>
      <c r="BG248" s="205"/>
      <c r="BH248" s="205"/>
      <c r="BI248" s="205"/>
      <c r="BJ248" s="205"/>
      <c r="BK248" s="205"/>
      <c r="BL248" s="205"/>
      <c r="BM248" s="205"/>
      <c r="BN248" s="205"/>
      <c r="BO248" s="205"/>
      <c r="BP248" s="205"/>
      <c r="BQ248" s="205"/>
      <c r="BR248" s="205"/>
    </row>
    <row r="249" spans="1:70" s="203" customFormat="1" x14ac:dyDescent="0.3">
      <c r="A249" s="593"/>
      <c r="B249" s="1000"/>
      <c r="C249" s="592"/>
      <c r="D249" s="774"/>
      <c r="E249" s="774"/>
      <c r="F249" s="774"/>
      <c r="G249" s="1011"/>
      <c r="I249" s="26"/>
      <c r="R249" s="205"/>
      <c r="S249" s="205"/>
      <c r="T249" s="205"/>
      <c r="U249" s="205"/>
      <c r="V249" s="205"/>
      <c r="W249" s="205"/>
      <c r="X249" s="205"/>
      <c r="Y249" s="205"/>
      <c r="Z249" s="205"/>
      <c r="AA249" s="205"/>
      <c r="AB249" s="205"/>
      <c r="AC249" s="205"/>
      <c r="AD249" s="205"/>
      <c r="AE249" s="205"/>
      <c r="AF249" s="205"/>
      <c r="AG249" s="205"/>
      <c r="AH249" s="205"/>
      <c r="AI249" s="205"/>
      <c r="AJ249" s="205"/>
      <c r="AK249" s="205"/>
      <c r="AL249" s="205"/>
      <c r="AM249" s="205"/>
      <c r="AN249" s="205"/>
      <c r="AO249" s="205"/>
      <c r="AP249" s="205"/>
      <c r="AQ249" s="205"/>
      <c r="AR249" s="205"/>
      <c r="AS249" s="205"/>
      <c r="AT249" s="205"/>
      <c r="AU249" s="205"/>
      <c r="AV249" s="205"/>
      <c r="AW249" s="205"/>
      <c r="AX249" s="205"/>
      <c r="AY249" s="205"/>
      <c r="AZ249" s="205"/>
      <c r="BA249" s="205"/>
      <c r="BB249" s="205"/>
      <c r="BC249" s="205"/>
      <c r="BD249" s="205"/>
      <c r="BE249" s="205"/>
      <c r="BF249" s="205"/>
      <c r="BG249" s="205"/>
      <c r="BH249" s="205"/>
      <c r="BI249" s="205"/>
      <c r="BJ249" s="205"/>
      <c r="BK249" s="205"/>
      <c r="BL249" s="205"/>
      <c r="BM249" s="205"/>
      <c r="BN249" s="205"/>
      <c r="BO249" s="205"/>
      <c r="BP249" s="205"/>
      <c r="BQ249" s="205"/>
      <c r="BR249" s="205"/>
    </row>
    <row r="250" spans="1:70" s="206" customFormat="1" ht="15" customHeight="1" x14ac:dyDescent="0.3">
      <c r="A250" s="1003" t="s">
        <v>240</v>
      </c>
      <c r="B250" s="1001"/>
      <c r="C250" s="1001"/>
      <c r="D250" s="1001"/>
      <c r="E250" s="1001"/>
      <c r="F250" s="1001"/>
      <c r="G250" s="1011"/>
    </row>
    <row r="251" spans="1:70" s="206" customFormat="1" x14ac:dyDescent="0.3">
      <c r="A251" s="1004" t="s">
        <v>91</v>
      </c>
      <c r="B251" s="596"/>
      <c r="C251" s="1007">
        <f>$B$4*C242/12</f>
        <v>0</v>
      </c>
      <c r="D251" s="596"/>
      <c r="E251" s="596"/>
      <c r="F251" s="596"/>
      <c r="G251" s="1011"/>
      <c r="H251" s="32"/>
    </row>
    <row r="252" spans="1:70" s="206" customFormat="1" x14ac:dyDescent="0.3">
      <c r="A252" s="596" t="s">
        <v>92</v>
      </c>
      <c r="B252" s="596"/>
      <c r="C252" s="1007">
        <f>$B$5*C242/12</f>
        <v>0</v>
      </c>
      <c r="D252" s="1006"/>
      <c r="E252" s="596"/>
      <c r="F252" s="596"/>
      <c r="G252" s="1011"/>
      <c r="H252" s="33"/>
    </row>
    <row r="253" spans="1:70" s="206" customFormat="1" x14ac:dyDescent="0.3">
      <c r="A253" s="596" t="s">
        <v>107</v>
      </c>
      <c r="B253" s="596"/>
      <c r="C253" s="1008">
        <f>IF(C245="Yes", B285, C248)</f>
        <v>0</v>
      </c>
      <c r="D253" s="596"/>
      <c r="E253" s="596"/>
      <c r="F253" s="1015"/>
      <c r="G253" s="1011"/>
      <c r="H253" s="31"/>
    </row>
    <row r="254" spans="1:70" s="206" customFormat="1" x14ac:dyDescent="0.3">
      <c r="A254" s="596" t="s">
        <v>95</v>
      </c>
      <c r="B254" s="596"/>
      <c r="C254" s="1007">
        <f>SUM(C251:C253)</f>
        <v>0</v>
      </c>
      <c r="D254" s="596"/>
      <c r="E254" s="596"/>
      <c r="F254" s="596"/>
      <c r="G254" s="1011"/>
      <c r="H254" s="203"/>
    </row>
    <row r="255" spans="1:70" s="206" customFormat="1" x14ac:dyDescent="0.3">
      <c r="A255" s="596"/>
      <c r="B255" s="1002"/>
      <c r="C255" s="596"/>
      <c r="D255" s="596"/>
      <c r="E255" s="596"/>
      <c r="F255" s="596"/>
      <c r="G255" s="1011"/>
      <c r="H255" s="203"/>
    </row>
    <row r="256" spans="1:70" s="203" customFormat="1" x14ac:dyDescent="0.3">
      <c r="A256" s="597" t="s">
        <v>110</v>
      </c>
      <c r="B256" s="784"/>
      <c r="C256" s="771"/>
      <c r="D256" s="772"/>
      <c r="E256" s="772"/>
      <c r="F256" s="772"/>
      <c r="G256" s="1011"/>
      <c r="H256" s="26"/>
      <c r="I256" s="26"/>
      <c r="R256" s="205"/>
      <c r="S256" s="205"/>
      <c r="T256" s="205"/>
      <c r="U256" s="205"/>
      <c r="V256" s="205"/>
      <c r="W256" s="205"/>
      <c r="X256" s="205"/>
      <c r="Y256" s="205"/>
      <c r="Z256" s="205"/>
      <c r="AA256" s="205"/>
      <c r="AB256" s="205"/>
      <c r="AC256" s="205"/>
      <c r="AD256" s="205"/>
      <c r="AE256" s="205"/>
      <c r="AF256" s="205"/>
      <c r="AG256" s="205"/>
      <c r="AH256" s="205"/>
      <c r="AI256" s="205"/>
      <c r="AJ256" s="205"/>
      <c r="AK256" s="205"/>
      <c r="AL256" s="205"/>
      <c r="AM256" s="205"/>
      <c r="AN256" s="205"/>
      <c r="AO256" s="205"/>
      <c r="AP256" s="205"/>
      <c r="AQ256" s="205"/>
      <c r="AR256" s="205"/>
      <c r="AS256" s="205"/>
      <c r="AT256" s="205"/>
      <c r="AU256" s="205"/>
      <c r="AV256" s="205"/>
      <c r="AW256" s="205"/>
      <c r="AX256" s="205"/>
      <c r="AY256" s="205"/>
      <c r="AZ256" s="205"/>
      <c r="BA256" s="205"/>
      <c r="BB256" s="205"/>
      <c r="BC256" s="205"/>
      <c r="BD256" s="205"/>
      <c r="BE256" s="205"/>
      <c r="BF256" s="205"/>
      <c r="BG256" s="205"/>
      <c r="BH256" s="205"/>
      <c r="BI256" s="205"/>
      <c r="BJ256" s="205"/>
      <c r="BK256" s="205"/>
      <c r="BL256" s="205"/>
      <c r="BM256" s="205"/>
      <c r="BN256" s="205"/>
      <c r="BO256" s="205"/>
      <c r="BP256" s="205"/>
      <c r="BQ256" s="205"/>
      <c r="BR256" s="205"/>
    </row>
    <row r="257" spans="1:70" s="203" customFormat="1" x14ac:dyDescent="0.3">
      <c r="A257" s="593" t="s">
        <v>631</v>
      </c>
      <c r="B257" s="998"/>
      <c r="C257" s="1452">
        <v>0</v>
      </c>
      <c r="D257" s="774"/>
      <c r="E257" s="774"/>
      <c r="F257" s="774"/>
      <c r="G257" s="1011"/>
      <c r="H257" s="30"/>
      <c r="I257" s="30"/>
      <c r="J257" s="205"/>
      <c r="K257" s="205"/>
      <c r="L257" s="205"/>
      <c r="M257" s="205"/>
      <c r="N257" s="205"/>
      <c r="O257" s="205"/>
      <c r="P257" s="205"/>
      <c r="Q257" s="205"/>
      <c r="R257" s="205"/>
      <c r="S257" s="205"/>
      <c r="T257" s="205"/>
      <c r="U257" s="205"/>
      <c r="V257" s="205"/>
      <c r="W257" s="205"/>
      <c r="X257" s="205"/>
      <c r="Y257" s="205"/>
      <c r="Z257" s="205"/>
      <c r="AA257" s="205"/>
      <c r="AB257" s="205"/>
      <c r="AC257" s="205"/>
      <c r="AD257" s="205"/>
      <c r="AE257" s="205"/>
      <c r="AF257" s="205"/>
      <c r="AG257" s="205"/>
      <c r="AH257" s="205"/>
      <c r="AI257" s="205"/>
      <c r="AJ257" s="205"/>
      <c r="AK257" s="205"/>
      <c r="AL257" s="205"/>
      <c r="AM257" s="205"/>
      <c r="AN257" s="205"/>
      <c r="AO257" s="205"/>
      <c r="AP257" s="205"/>
      <c r="AQ257" s="205"/>
      <c r="AR257" s="205"/>
      <c r="AS257" s="205"/>
      <c r="AT257" s="205"/>
      <c r="AU257" s="205"/>
      <c r="AV257" s="205"/>
      <c r="AW257" s="205"/>
      <c r="AX257" s="205"/>
      <c r="AY257" s="205"/>
      <c r="AZ257" s="205"/>
      <c r="BA257" s="205"/>
      <c r="BB257" s="205"/>
      <c r="BC257" s="205"/>
      <c r="BD257" s="205"/>
      <c r="BE257" s="205"/>
      <c r="BF257" s="205"/>
      <c r="BG257" s="205"/>
      <c r="BH257" s="205"/>
      <c r="BI257" s="205"/>
      <c r="BJ257" s="205"/>
      <c r="BK257" s="205"/>
      <c r="BL257" s="205"/>
      <c r="BM257" s="205"/>
      <c r="BN257" s="205"/>
      <c r="BO257" s="205"/>
      <c r="BP257" s="205"/>
      <c r="BQ257" s="205"/>
      <c r="BR257" s="205"/>
    </row>
    <row r="258" spans="1:70" s="207" customFormat="1" x14ac:dyDescent="0.3">
      <c r="A258" s="592"/>
      <c r="B258" s="999"/>
      <c r="C258" s="592"/>
      <c r="D258" s="774"/>
      <c r="E258" s="774"/>
      <c r="F258" s="774"/>
      <c r="G258" s="1011"/>
      <c r="H258" s="35"/>
      <c r="I258" s="35"/>
      <c r="J258" s="206"/>
      <c r="K258" s="206"/>
      <c r="L258" s="206"/>
      <c r="M258" s="206"/>
      <c r="N258" s="206"/>
      <c r="O258" s="206"/>
      <c r="P258" s="206"/>
      <c r="Q258" s="206"/>
      <c r="R258" s="205"/>
      <c r="S258" s="205"/>
      <c r="T258" s="205"/>
      <c r="U258" s="205"/>
      <c r="V258" s="205"/>
      <c r="W258" s="205"/>
      <c r="X258" s="205"/>
      <c r="Y258" s="205"/>
      <c r="Z258" s="205"/>
      <c r="AA258" s="205"/>
      <c r="AB258" s="205"/>
      <c r="AC258" s="205"/>
      <c r="AD258" s="205"/>
      <c r="AE258" s="205"/>
      <c r="AF258" s="205"/>
      <c r="AG258" s="205"/>
      <c r="AH258" s="205"/>
      <c r="AI258" s="205"/>
      <c r="AJ258" s="205"/>
      <c r="AK258" s="205"/>
      <c r="AL258" s="205"/>
      <c r="AM258" s="205"/>
      <c r="AN258" s="205"/>
      <c r="AO258" s="205"/>
      <c r="AP258" s="205"/>
      <c r="AQ258" s="205"/>
      <c r="AR258" s="205"/>
      <c r="AS258" s="205"/>
      <c r="AT258" s="205"/>
      <c r="AU258" s="205"/>
      <c r="AV258" s="205"/>
      <c r="AW258" s="205"/>
      <c r="AX258" s="205"/>
      <c r="AY258" s="205"/>
      <c r="AZ258" s="205"/>
      <c r="BA258" s="205"/>
      <c r="BB258" s="205"/>
      <c r="BC258" s="205"/>
      <c r="BD258" s="205"/>
      <c r="BE258" s="205"/>
      <c r="BF258" s="205"/>
      <c r="BG258" s="205"/>
      <c r="BH258" s="205"/>
      <c r="BI258" s="205"/>
      <c r="BJ258" s="205"/>
      <c r="BK258" s="205"/>
      <c r="BL258" s="205"/>
      <c r="BM258" s="205"/>
      <c r="BN258" s="205"/>
      <c r="BO258" s="205"/>
      <c r="BP258" s="205"/>
      <c r="BQ258" s="205"/>
      <c r="BR258" s="205"/>
    </row>
    <row r="259" spans="1:70" s="203" customFormat="1" ht="15" thickBot="1" x14ac:dyDescent="0.35">
      <c r="A259" s="593" t="s">
        <v>239</v>
      </c>
      <c r="B259" s="998"/>
      <c r="C259" s="809">
        <f>B294</f>
        <v>0</v>
      </c>
      <c r="D259" s="775"/>
      <c r="E259" s="775"/>
      <c r="F259" s="775"/>
      <c r="G259" s="1011"/>
      <c r="I259" s="28"/>
      <c r="J259" s="29"/>
      <c r="K259" s="29"/>
      <c r="R259" s="205"/>
      <c r="S259" s="205"/>
      <c r="T259" s="205"/>
      <c r="U259" s="205"/>
      <c r="V259" s="205"/>
      <c r="W259" s="205"/>
      <c r="X259" s="205"/>
      <c r="Y259" s="205"/>
      <c r="Z259" s="205"/>
      <c r="AA259" s="205"/>
      <c r="AB259" s="205"/>
      <c r="AC259" s="205"/>
      <c r="AD259" s="205"/>
      <c r="AE259" s="205"/>
      <c r="AF259" s="205"/>
      <c r="AG259" s="205"/>
      <c r="AH259" s="205"/>
      <c r="AI259" s="205"/>
      <c r="AJ259" s="205"/>
      <c r="AK259" s="205"/>
      <c r="AL259" s="205"/>
      <c r="AM259" s="205"/>
      <c r="AN259" s="205"/>
      <c r="AO259" s="205"/>
      <c r="AP259" s="205"/>
      <c r="AQ259" s="205"/>
      <c r="AR259" s="205"/>
      <c r="AS259" s="205"/>
      <c r="AT259" s="205"/>
      <c r="AU259" s="205"/>
      <c r="AV259" s="205"/>
      <c r="AW259" s="205"/>
      <c r="AX259" s="205"/>
      <c r="AY259" s="205"/>
      <c r="AZ259" s="205"/>
      <c r="BA259" s="205"/>
      <c r="BB259" s="205"/>
      <c r="BC259" s="205"/>
      <c r="BD259" s="205"/>
      <c r="BE259" s="205"/>
      <c r="BF259" s="205"/>
      <c r="BG259" s="205"/>
      <c r="BH259" s="205"/>
      <c r="BI259" s="205"/>
      <c r="BJ259" s="205"/>
      <c r="BK259" s="205"/>
      <c r="BL259" s="205"/>
      <c r="BM259" s="205"/>
      <c r="BN259" s="205"/>
      <c r="BO259" s="205"/>
      <c r="BP259" s="205"/>
      <c r="BQ259" s="205"/>
      <c r="BR259" s="205"/>
    </row>
    <row r="260" spans="1:70" s="203" customFormat="1" ht="15.6" thickTop="1" thickBot="1" x14ac:dyDescent="0.35">
      <c r="A260" s="593" t="s">
        <v>244</v>
      </c>
      <c r="B260" s="998"/>
      <c r="C260" s="599" t="s">
        <v>59</v>
      </c>
      <c r="D260" s="775"/>
      <c r="E260" s="775"/>
      <c r="F260" s="775"/>
      <c r="G260" s="1011"/>
      <c r="I260" s="28"/>
      <c r="J260" s="29"/>
      <c r="K260" s="29"/>
      <c r="R260" s="205"/>
      <c r="S260" s="205"/>
      <c r="T260" s="205"/>
      <c r="U260" s="205"/>
      <c r="V260" s="205"/>
      <c r="W260" s="205"/>
      <c r="X260" s="205"/>
      <c r="Y260" s="205"/>
      <c r="Z260" s="205"/>
      <c r="AA260" s="205"/>
      <c r="AB260" s="205"/>
      <c r="AC260" s="205"/>
      <c r="AD260" s="205"/>
      <c r="AE260" s="205"/>
      <c r="AF260" s="205"/>
      <c r="AG260" s="205"/>
      <c r="AH260" s="205"/>
      <c r="AI260" s="205"/>
      <c r="AJ260" s="205"/>
      <c r="AK260" s="205"/>
      <c r="AL260" s="205"/>
      <c r="AM260" s="205"/>
      <c r="AN260" s="205"/>
      <c r="AO260" s="205"/>
      <c r="AP260" s="205"/>
      <c r="AQ260" s="205"/>
      <c r="AR260" s="205"/>
      <c r="AS260" s="205"/>
      <c r="AT260" s="205"/>
      <c r="AU260" s="205"/>
      <c r="AV260" s="205"/>
      <c r="AW260" s="205"/>
      <c r="AX260" s="205"/>
      <c r="AY260" s="205"/>
      <c r="AZ260" s="205"/>
      <c r="BA260" s="205"/>
      <c r="BB260" s="205"/>
      <c r="BC260" s="205"/>
      <c r="BD260" s="205"/>
      <c r="BE260" s="205"/>
      <c r="BF260" s="205"/>
      <c r="BG260" s="205"/>
      <c r="BH260" s="205"/>
      <c r="BI260" s="205"/>
      <c r="BJ260" s="205"/>
      <c r="BK260" s="205"/>
      <c r="BL260" s="205"/>
      <c r="BM260" s="205"/>
      <c r="BN260" s="205"/>
      <c r="BO260" s="205"/>
      <c r="BP260" s="205"/>
      <c r="BQ260" s="205"/>
      <c r="BR260" s="205"/>
    </row>
    <row r="261" spans="1:70" s="203" customFormat="1" ht="15" thickTop="1" x14ac:dyDescent="0.3">
      <c r="A261" s="593" t="s">
        <v>247</v>
      </c>
      <c r="B261" s="998"/>
      <c r="C261" s="998"/>
      <c r="D261" s="1005"/>
      <c r="E261" s="775"/>
      <c r="F261" s="775"/>
      <c r="G261" s="1011"/>
      <c r="I261" s="28"/>
      <c r="J261" s="29"/>
      <c r="K261" s="29"/>
      <c r="R261" s="205"/>
      <c r="S261" s="205"/>
      <c r="T261" s="205"/>
      <c r="U261" s="205"/>
      <c r="V261" s="205"/>
      <c r="W261" s="205"/>
      <c r="X261" s="205"/>
      <c r="Y261" s="205"/>
      <c r="Z261" s="205"/>
      <c r="AA261" s="205"/>
      <c r="AB261" s="205"/>
      <c r="AC261" s="205"/>
      <c r="AD261" s="205"/>
      <c r="AE261" s="205"/>
      <c r="AF261" s="205"/>
      <c r="AG261" s="205"/>
      <c r="AH261" s="205"/>
      <c r="AI261" s="205"/>
      <c r="AJ261" s="205"/>
      <c r="AK261" s="205"/>
      <c r="AL261" s="205"/>
      <c r="AM261" s="205"/>
      <c r="AN261" s="205"/>
      <c r="AO261" s="205"/>
      <c r="AP261" s="205"/>
      <c r="AQ261" s="205"/>
      <c r="AR261" s="205"/>
      <c r="AS261" s="205"/>
      <c r="AT261" s="205"/>
      <c r="AU261" s="205"/>
      <c r="AV261" s="205"/>
      <c r="AW261" s="205"/>
      <c r="AX261" s="205"/>
      <c r="AY261" s="205"/>
      <c r="AZ261" s="205"/>
      <c r="BA261" s="205"/>
      <c r="BB261" s="205"/>
      <c r="BC261" s="205"/>
      <c r="BD261" s="205"/>
      <c r="BE261" s="205"/>
      <c r="BF261" s="205"/>
      <c r="BG261" s="205"/>
      <c r="BH261" s="205"/>
      <c r="BI261" s="205"/>
      <c r="BJ261" s="205"/>
      <c r="BK261" s="205"/>
      <c r="BL261" s="205"/>
      <c r="BM261" s="205"/>
      <c r="BN261" s="205"/>
      <c r="BO261" s="205"/>
      <c r="BP261" s="205"/>
      <c r="BQ261" s="205"/>
      <c r="BR261" s="205"/>
    </row>
    <row r="262" spans="1:70" s="203" customFormat="1" x14ac:dyDescent="0.3">
      <c r="A262" s="593" t="s">
        <v>248</v>
      </c>
      <c r="B262" s="998"/>
      <c r="C262" s="998"/>
      <c r="D262" s="1005"/>
      <c r="E262" s="775"/>
      <c r="F262" s="775"/>
      <c r="G262" s="1011"/>
      <c r="I262" s="28"/>
      <c r="J262" s="29"/>
      <c r="K262" s="29"/>
      <c r="R262" s="205"/>
      <c r="S262" s="205"/>
      <c r="T262" s="205"/>
      <c r="U262" s="205"/>
      <c r="V262" s="205"/>
      <c r="W262" s="205"/>
      <c r="X262" s="205"/>
      <c r="Y262" s="205"/>
      <c r="Z262" s="205"/>
      <c r="AA262" s="205"/>
      <c r="AB262" s="205"/>
      <c r="AC262" s="205"/>
      <c r="AD262" s="205"/>
      <c r="AE262" s="205"/>
      <c r="AF262" s="205"/>
      <c r="AG262" s="205"/>
      <c r="AH262" s="205"/>
      <c r="AI262" s="205"/>
      <c r="AJ262" s="205"/>
      <c r="AK262" s="205"/>
      <c r="AL262" s="205"/>
      <c r="AM262" s="205"/>
      <c r="AN262" s="205"/>
      <c r="AO262" s="205"/>
      <c r="AP262" s="205"/>
      <c r="AQ262" s="205"/>
      <c r="AR262" s="205"/>
      <c r="AS262" s="205"/>
      <c r="AT262" s="205"/>
      <c r="AU262" s="205"/>
      <c r="AV262" s="205"/>
      <c r="AW262" s="205"/>
      <c r="AX262" s="205"/>
      <c r="AY262" s="205"/>
      <c r="AZ262" s="205"/>
      <c r="BA262" s="205"/>
      <c r="BB262" s="205"/>
      <c r="BC262" s="205"/>
      <c r="BD262" s="205"/>
      <c r="BE262" s="205"/>
      <c r="BF262" s="205"/>
      <c r="BG262" s="205"/>
      <c r="BH262" s="205"/>
      <c r="BI262" s="205"/>
      <c r="BJ262" s="205"/>
      <c r="BK262" s="205"/>
      <c r="BL262" s="205"/>
      <c r="BM262" s="205"/>
      <c r="BN262" s="205"/>
      <c r="BO262" s="205"/>
      <c r="BP262" s="205"/>
      <c r="BQ262" s="205"/>
      <c r="BR262" s="205"/>
    </row>
    <row r="263" spans="1:70" s="203" customFormat="1" x14ac:dyDescent="0.3">
      <c r="A263" s="593" t="s">
        <v>259</v>
      </c>
      <c r="B263" s="998"/>
      <c r="C263" s="600">
        <v>0</v>
      </c>
      <c r="D263" s="774"/>
      <c r="E263" s="774"/>
      <c r="F263" s="774"/>
      <c r="G263" s="1011"/>
      <c r="I263" s="26"/>
      <c r="R263" s="205"/>
      <c r="S263" s="205"/>
      <c r="T263" s="205"/>
      <c r="U263" s="205"/>
      <c r="V263" s="205"/>
      <c r="W263" s="205"/>
      <c r="X263" s="205"/>
      <c r="Y263" s="205"/>
      <c r="Z263" s="205"/>
      <c r="AA263" s="205"/>
      <c r="AB263" s="205"/>
      <c r="AC263" s="205"/>
      <c r="AD263" s="205"/>
      <c r="AE263" s="205"/>
      <c r="AF263" s="205"/>
      <c r="AG263" s="205"/>
      <c r="AH263" s="205"/>
      <c r="AI263" s="205"/>
      <c r="AJ263" s="205"/>
      <c r="AK263" s="205"/>
      <c r="AL263" s="205"/>
      <c r="AM263" s="205"/>
      <c r="AN263" s="205"/>
      <c r="AO263" s="205"/>
      <c r="AP263" s="205"/>
      <c r="AQ263" s="205"/>
      <c r="AR263" s="205"/>
      <c r="AS263" s="205"/>
      <c r="AT263" s="205"/>
      <c r="AU263" s="205"/>
      <c r="AV263" s="205"/>
      <c r="AW263" s="205"/>
      <c r="AX263" s="205"/>
      <c r="AY263" s="205"/>
      <c r="AZ263" s="205"/>
      <c r="BA263" s="205"/>
      <c r="BB263" s="205"/>
      <c r="BC263" s="205"/>
      <c r="BD263" s="205"/>
      <c r="BE263" s="205"/>
      <c r="BF263" s="205"/>
      <c r="BG263" s="205"/>
      <c r="BH263" s="205"/>
      <c r="BI263" s="205"/>
      <c r="BJ263" s="205"/>
      <c r="BK263" s="205"/>
      <c r="BL263" s="205"/>
      <c r="BM263" s="205"/>
      <c r="BN263" s="205"/>
      <c r="BO263" s="205"/>
      <c r="BP263" s="205"/>
      <c r="BQ263" s="205"/>
      <c r="BR263" s="205"/>
    </row>
    <row r="264" spans="1:70" s="203" customFormat="1" x14ac:dyDescent="0.3">
      <c r="A264" s="593"/>
      <c r="B264" s="998"/>
      <c r="C264" s="1000"/>
      <c r="D264" s="774"/>
      <c r="E264" s="774"/>
      <c r="F264" s="774"/>
      <c r="G264" s="1011"/>
      <c r="I264" s="26"/>
      <c r="R264" s="205"/>
      <c r="S264" s="205"/>
      <c r="T264" s="205"/>
      <c r="U264" s="205"/>
      <c r="V264" s="205"/>
      <c r="W264" s="205"/>
      <c r="X264" s="205"/>
      <c r="Y264" s="205"/>
      <c r="Z264" s="205"/>
      <c r="AA264" s="205"/>
      <c r="AB264" s="205"/>
      <c r="AC264" s="205"/>
      <c r="AD264" s="205"/>
      <c r="AE264" s="205"/>
      <c r="AF264" s="205"/>
      <c r="AG264" s="205"/>
      <c r="AH264" s="205"/>
      <c r="AI264" s="205"/>
      <c r="AJ264" s="205"/>
      <c r="AK264" s="205"/>
      <c r="AL264" s="205"/>
      <c r="AM264" s="205"/>
      <c r="AN264" s="205"/>
      <c r="AO264" s="205"/>
      <c r="AP264" s="205"/>
      <c r="AQ264" s="205"/>
      <c r="AR264" s="205"/>
      <c r="AS264" s="205"/>
      <c r="AT264" s="205"/>
      <c r="AU264" s="205"/>
      <c r="AV264" s="205"/>
      <c r="AW264" s="205"/>
      <c r="AX264" s="205"/>
      <c r="AY264" s="205"/>
      <c r="AZ264" s="205"/>
      <c r="BA264" s="205"/>
      <c r="BB264" s="205"/>
      <c r="BC264" s="205"/>
      <c r="BD264" s="205"/>
      <c r="BE264" s="205"/>
      <c r="BF264" s="205"/>
      <c r="BG264" s="205"/>
      <c r="BH264" s="205"/>
      <c r="BI264" s="205"/>
      <c r="BJ264" s="205"/>
      <c r="BK264" s="205"/>
      <c r="BL264" s="205"/>
      <c r="BM264" s="205"/>
      <c r="BN264" s="205"/>
      <c r="BO264" s="205"/>
      <c r="BP264" s="205"/>
      <c r="BQ264" s="205"/>
      <c r="BR264" s="205"/>
    </row>
    <row r="265" spans="1:70" s="206" customFormat="1" ht="15" customHeight="1" x14ac:dyDescent="0.3">
      <c r="A265" s="1003" t="s">
        <v>245</v>
      </c>
      <c r="B265" s="1001"/>
      <c r="C265" s="1001"/>
      <c r="D265" s="1001"/>
      <c r="E265" s="1001"/>
      <c r="F265" s="1001"/>
      <c r="G265" s="1011"/>
    </row>
    <row r="266" spans="1:70" s="206" customFormat="1" x14ac:dyDescent="0.3">
      <c r="A266" s="1004" t="s">
        <v>91</v>
      </c>
      <c r="B266" s="596"/>
      <c r="C266" s="1007">
        <f>$B$4*C257/12</f>
        <v>0</v>
      </c>
      <c r="D266" s="596"/>
      <c r="E266" s="596"/>
      <c r="F266" s="596"/>
      <c r="G266" s="1011"/>
      <c r="H266" s="32"/>
    </row>
    <row r="267" spans="1:70" s="206" customFormat="1" x14ac:dyDescent="0.3">
      <c r="A267" s="596" t="s">
        <v>92</v>
      </c>
      <c r="B267" s="596"/>
      <c r="C267" s="1007">
        <f>$B$5*C257/12</f>
        <v>0</v>
      </c>
      <c r="D267" s="1006"/>
      <c r="E267" s="596"/>
      <c r="F267" s="596"/>
      <c r="G267" s="1011"/>
      <c r="H267" s="33"/>
    </row>
    <row r="268" spans="1:70" s="206" customFormat="1" x14ac:dyDescent="0.3">
      <c r="A268" s="596" t="s">
        <v>107</v>
      </c>
      <c r="B268" s="596"/>
      <c r="C268" s="1008">
        <f>IF(C260="Yes", B294, C263)</f>
        <v>0</v>
      </c>
      <c r="D268" s="596"/>
      <c r="E268" s="596"/>
      <c r="F268" s="596"/>
      <c r="G268" s="1011"/>
      <c r="H268" s="31"/>
    </row>
    <row r="269" spans="1:70" s="206" customFormat="1" x14ac:dyDescent="0.3">
      <c r="A269" s="596" t="s">
        <v>95</v>
      </c>
      <c r="B269" s="596"/>
      <c r="C269" s="1007">
        <f>SUM(C266:C268)</f>
        <v>0</v>
      </c>
      <c r="D269" s="596"/>
      <c r="E269" s="596"/>
      <c r="F269" s="596"/>
      <c r="G269" s="1011"/>
      <c r="H269" s="203"/>
    </row>
    <row r="270" spans="1:70" s="206" customFormat="1" x14ac:dyDescent="0.3">
      <c r="A270" s="596"/>
      <c r="B270" s="596"/>
      <c r="C270" s="1002"/>
      <c r="D270" s="596"/>
      <c r="E270" s="596"/>
      <c r="F270" s="596"/>
      <c r="G270" s="1011"/>
      <c r="H270" s="203"/>
    </row>
    <row r="271" spans="1:70" s="203" customFormat="1" x14ac:dyDescent="0.3">
      <c r="A271" s="1538" t="s">
        <v>257</v>
      </c>
      <c r="B271" s="1538"/>
      <c r="C271" s="1538"/>
      <c r="D271" s="1538"/>
      <c r="E271" s="1538"/>
      <c r="F271" s="1538"/>
      <c r="G271" s="1011"/>
      <c r="I271" s="26"/>
      <c r="R271" s="205"/>
      <c r="S271" s="205"/>
      <c r="T271" s="205"/>
      <c r="U271" s="205"/>
      <c r="V271" s="205"/>
      <c r="W271" s="205"/>
      <c r="X271" s="205"/>
      <c r="Y271" s="205"/>
      <c r="Z271" s="205"/>
      <c r="AA271" s="205"/>
      <c r="AB271" s="205"/>
      <c r="AC271" s="205"/>
      <c r="AD271" s="205"/>
      <c r="AE271" s="205"/>
      <c r="AF271" s="205"/>
      <c r="AG271" s="205"/>
      <c r="AH271" s="205"/>
      <c r="AI271" s="205"/>
      <c r="AJ271" s="205"/>
      <c r="AK271" s="205"/>
      <c r="AL271" s="205"/>
      <c r="AM271" s="205"/>
      <c r="AN271" s="205"/>
      <c r="AO271" s="205"/>
      <c r="AP271" s="205"/>
      <c r="AQ271" s="205"/>
      <c r="AR271" s="205"/>
      <c r="AS271" s="205"/>
      <c r="AT271" s="205"/>
      <c r="AU271" s="205"/>
      <c r="AV271" s="205"/>
      <c r="AW271" s="205"/>
      <c r="AX271" s="205"/>
      <c r="AY271" s="205"/>
      <c r="AZ271" s="205"/>
      <c r="BA271" s="205"/>
      <c r="BB271" s="205"/>
      <c r="BC271" s="205"/>
      <c r="BD271" s="205"/>
      <c r="BE271" s="205"/>
      <c r="BF271" s="205"/>
      <c r="BG271" s="205"/>
      <c r="BH271" s="205"/>
      <c r="BI271" s="205"/>
      <c r="BJ271" s="205"/>
      <c r="BK271" s="205"/>
      <c r="BL271" s="205"/>
      <c r="BM271" s="205"/>
      <c r="BN271" s="205"/>
      <c r="BO271" s="205"/>
      <c r="BP271" s="205"/>
      <c r="BQ271" s="205"/>
      <c r="BR271" s="205"/>
    </row>
    <row r="272" spans="1:70" s="206" customFormat="1" x14ac:dyDescent="0.3">
      <c r="A272" s="1009" t="s">
        <v>91</v>
      </c>
      <c r="B272" s="596"/>
      <c r="C272" s="1010">
        <f>C251+C266</f>
        <v>0</v>
      </c>
      <c r="D272" s="1011"/>
      <c r="E272" s="1011"/>
      <c r="F272" s="1011"/>
      <c r="G272" s="1011"/>
      <c r="H272" s="32"/>
    </row>
    <row r="273" spans="1:70" s="206" customFormat="1" x14ac:dyDescent="0.3">
      <c r="A273" s="1011" t="s">
        <v>92</v>
      </c>
      <c r="B273" s="596"/>
      <c r="C273" s="1010">
        <f>C252+C267</f>
        <v>0</v>
      </c>
      <c r="D273" s="1012"/>
      <c r="E273" s="1011"/>
      <c r="F273" s="1011"/>
      <c r="G273" s="1011"/>
      <c r="H273" s="33"/>
    </row>
    <row r="274" spans="1:70" s="206" customFormat="1" x14ac:dyDescent="0.3">
      <c r="A274" s="1011" t="s">
        <v>107</v>
      </c>
      <c r="B274" s="596"/>
      <c r="C274" s="1013">
        <f>C253+C268</f>
        <v>0</v>
      </c>
      <c r="D274" s="1011"/>
      <c r="E274" s="1011"/>
      <c r="F274" s="1011"/>
      <c r="G274" s="1011"/>
      <c r="H274" s="31"/>
    </row>
    <row r="275" spans="1:70" s="206" customFormat="1" x14ac:dyDescent="0.3">
      <c r="A275" s="1011" t="s">
        <v>95</v>
      </c>
      <c r="B275" s="596"/>
      <c r="C275" s="1010">
        <f>SUM(C272:C274)</f>
        <v>0</v>
      </c>
      <c r="D275" s="1011"/>
      <c r="E275" s="1011"/>
      <c r="F275" s="1011"/>
      <c r="G275" s="1011"/>
      <c r="H275" s="203"/>
    </row>
    <row r="276" spans="1:70" s="203" customFormat="1" x14ac:dyDescent="0.3">
      <c r="A276" s="1539" t="s">
        <v>633</v>
      </c>
      <c r="B276" s="1539"/>
      <c r="C276" s="1539"/>
      <c r="D276" s="1539"/>
      <c r="E276" s="1539"/>
      <c r="F276" s="1539"/>
      <c r="G276" s="1011"/>
      <c r="I276" s="28"/>
      <c r="J276" s="29"/>
      <c r="K276" s="29"/>
      <c r="R276" s="205"/>
      <c r="S276" s="205"/>
      <c r="T276" s="205"/>
      <c r="U276" s="205"/>
      <c r="V276" s="205"/>
      <c r="W276" s="205"/>
      <c r="X276" s="205"/>
      <c r="Y276" s="205"/>
      <c r="Z276" s="205"/>
      <c r="AA276" s="205"/>
      <c r="AB276" s="205"/>
      <c r="AC276" s="205"/>
      <c r="AD276" s="205"/>
      <c r="AE276" s="205"/>
      <c r="AF276" s="205"/>
      <c r="AG276" s="205"/>
      <c r="AH276" s="205"/>
      <c r="AI276" s="205"/>
      <c r="AJ276" s="205"/>
      <c r="AK276" s="205"/>
      <c r="AL276" s="205"/>
      <c r="AM276" s="205"/>
      <c r="AN276" s="205"/>
      <c r="AO276" s="205"/>
      <c r="AP276" s="205"/>
      <c r="AQ276" s="205"/>
      <c r="AR276" s="205"/>
      <c r="AS276" s="205"/>
      <c r="AT276" s="205"/>
      <c r="AU276" s="205"/>
      <c r="AV276" s="205"/>
      <c r="AW276" s="205"/>
      <c r="AX276" s="205"/>
      <c r="AY276" s="205"/>
      <c r="AZ276" s="205"/>
      <c r="BA276" s="205"/>
      <c r="BB276" s="205"/>
      <c r="BC276" s="205"/>
      <c r="BD276" s="205"/>
      <c r="BE276" s="205"/>
      <c r="BF276" s="205"/>
      <c r="BG276" s="205"/>
      <c r="BH276" s="205"/>
      <c r="BI276" s="205"/>
      <c r="BJ276" s="205"/>
      <c r="BK276" s="205"/>
      <c r="BL276" s="205"/>
      <c r="BM276" s="205"/>
      <c r="BN276" s="205"/>
      <c r="BO276" s="205"/>
      <c r="BP276" s="205"/>
      <c r="BQ276" s="205"/>
      <c r="BR276" s="205"/>
    </row>
    <row r="277" spans="1:70" s="203" customFormat="1" hidden="1" x14ac:dyDescent="0.3">
      <c r="A277" s="788" t="s">
        <v>258</v>
      </c>
      <c r="B277" s="786"/>
      <c r="C277" s="786"/>
      <c r="D277" s="786"/>
      <c r="E277" s="786"/>
      <c r="F277" s="786"/>
      <c r="G277" s="1011"/>
      <c r="R277" s="205"/>
      <c r="S277" s="205"/>
      <c r="T277" s="205"/>
      <c r="U277" s="205"/>
      <c r="V277" s="205"/>
      <c r="W277" s="205"/>
      <c r="X277" s="205"/>
      <c r="Y277" s="205"/>
      <c r="Z277" s="205"/>
      <c r="AA277" s="205"/>
      <c r="AB277" s="205"/>
      <c r="AC277" s="205"/>
      <c r="AD277" s="205"/>
      <c r="AE277" s="205"/>
      <c r="AF277" s="205"/>
      <c r="AG277" s="205"/>
      <c r="AH277" s="205"/>
      <c r="AI277" s="205"/>
      <c r="AJ277" s="205"/>
      <c r="AK277" s="205"/>
      <c r="AL277" s="205"/>
      <c r="AM277" s="205"/>
      <c r="AN277" s="205"/>
      <c r="AO277" s="205"/>
      <c r="AP277" s="205"/>
      <c r="AQ277" s="205"/>
      <c r="AR277" s="205"/>
      <c r="AS277" s="205"/>
      <c r="AT277" s="205"/>
      <c r="AU277" s="205"/>
      <c r="AV277" s="205"/>
      <c r="AW277" s="205"/>
      <c r="AX277" s="205"/>
      <c r="AY277" s="205"/>
      <c r="AZ277" s="205"/>
      <c r="BA277" s="205"/>
      <c r="BB277" s="205"/>
      <c r="BC277" s="205"/>
      <c r="BD277" s="205"/>
      <c r="BE277" s="205"/>
      <c r="BF277" s="205"/>
      <c r="BG277" s="205"/>
      <c r="BH277" s="205"/>
      <c r="BI277" s="205"/>
      <c r="BJ277" s="205"/>
      <c r="BK277" s="205"/>
      <c r="BL277" s="205"/>
      <c r="BM277" s="205"/>
      <c r="BN277" s="205"/>
      <c r="BO277" s="205"/>
      <c r="BP277" s="205"/>
      <c r="BQ277" s="205"/>
      <c r="BR277" s="205"/>
    </row>
    <row r="278" spans="1:70" s="203" customFormat="1" hidden="1" x14ac:dyDescent="0.3">
      <c r="A278" s="788" t="s">
        <v>109</v>
      </c>
      <c r="B278" s="786"/>
      <c r="C278" s="786"/>
      <c r="D278" s="786"/>
      <c r="E278" s="786"/>
      <c r="F278" s="786"/>
      <c r="G278" s="1011"/>
      <c r="R278" s="205"/>
      <c r="S278" s="205"/>
      <c r="T278" s="205"/>
      <c r="U278" s="205"/>
      <c r="V278" s="205"/>
      <c r="W278" s="205"/>
      <c r="X278" s="205"/>
      <c r="Y278" s="205"/>
      <c r="Z278" s="205"/>
      <c r="AA278" s="205"/>
      <c r="AB278" s="205"/>
      <c r="AC278" s="205"/>
      <c r="AD278" s="205"/>
      <c r="AE278" s="205"/>
      <c r="AF278" s="205"/>
      <c r="AG278" s="205"/>
      <c r="AH278" s="205"/>
      <c r="AI278" s="205"/>
      <c r="AJ278" s="205"/>
      <c r="AK278" s="205"/>
      <c r="AL278" s="205"/>
      <c r="AM278" s="205"/>
      <c r="AN278" s="205"/>
      <c r="AO278" s="205"/>
      <c r="AP278" s="205"/>
      <c r="AQ278" s="205"/>
      <c r="AR278" s="205"/>
      <c r="AS278" s="205"/>
      <c r="AT278" s="205"/>
      <c r="AU278" s="205"/>
      <c r="AV278" s="205"/>
      <c r="AW278" s="205"/>
      <c r="AX278" s="205"/>
      <c r="AY278" s="205"/>
      <c r="AZ278" s="205"/>
      <c r="BA278" s="205"/>
      <c r="BB278" s="205"/>
      <c r="BC278" s="205"/>
      <c r="BD278" s="205"/>
      <c r="BE278" s="205"/>
      <c r="BF278" s="205"/>
      <c r="BG278" s="205"/>
      <c r="BH278" s="205"/>
      <c r="BI278" s="205"/>
      <c r="BJ278" s="205"/>
      <c r="BK278" s="205"/>
      <c r="BL278" s="205"/>
      <c r="BM278" s="205"/>
      <c r="BN278" s="205"/>
      <c r="BO278" s="205"/>
      <c r="BP278" s="205"/>
      <c r="BQ278" s="205"/>
      <c r="BR278" s="205"/>
    </row>
    <row r="279" spans="1:70" s="203" customFormat="1" hidden="1" x14ac:dyDescent="0.3">
      <c r="A279" s="789" t="s">
        <v>79</v>
      </c>
      <c r="B279" s="790">
        <f>C251</f>
        <v>0</v>
      </c>
      <c r="C279" s="786"/>
      <c r="D279" s="786"/>
      <c r="E279" s="786"/>
      <c r="F279" s="786"/>
      <c r="G279" s="1011"/>
      <c r="R279" s="205"/>
      <c r="S279" s="205"/>
      <c r="T279" s="205"/>
      <c r="U279" s="205"/>
      <c r="V279" s="205"/>
      <c r="W279" s="205"/>
      <c r="X279" s="205"/>
      <c r="Y279" s="205"/>
      <c r="Z279" s="205"/>
      <c r="AA279" s="205"/>
      <c r="AB279" s="205"/>
      <c r="AC279" s="205"/>
      <c r="AD279" s="205"/>
      <c r="AE279" s="205"/>
      <c r="AF279" s="205"/>
      <c r="AG279" s="205"/>
      <c r="AH279" s="205"/>
      <c r="AI279" s="205"/>
      <c r="AJ279" s="205"/>
      <c r="AK279" s="205"/>
      <c r="AL279" s="205"/>
      <c r="AM279" s="205"/>
      <c r="AN279" s="205"/>
      <c r="AO279" s="205"/>
      <c r="AP279" s="205"/>
      <c r="AQ279" s="205"/>
      <c r="AR279" s="205"/>
      <c r="AS279" s="205"/>
      <c r="AT279" s="205"/>
      <c r="AU279" s="205"/>
      <c r="AV279" s="205"/>
      <c r="AW279" s="205"/>
      <c r="AX279" s="205"/>
      <c r="AY279" s="205"/>
      <c r="AZ279" s="205"/>
      <c r="BA279" s="205"/>
      <c r="BB279" s="205"/>
      <c r="BC279" s="205"/>
      <c r="BD279" s="205"/>
      <c r="BE279" s="205"/>
      <c r="BF279" s="205"/>
      <c r="BG279" s="205"/>
      <c r="BH279" s="205"/>
      <c r="BI279" s="205"/>
      <c r="BJ279" s="205"/>
      <c r="BK279" s="205"/>
      <c r="BL279" s="205"/>
      <c r="BM279" s="205"/>
      <c r="BN279" s="205"/>
      <c r="BO279" s="205"/>
      <c r="BP279" s="205"/>
      <c r="BQ279" s="205"/>
      <c r="BR279" s="205"/>
    </row>
    <row r="280" spans="1:70" s="203" customFormat="1" hidden="1" x14ac:dyDescent="0.3">
      <c r="A280" s="789" t="s">
        <v>78</v>
      </c>
      <c r="B280" s="790">
        <f>C252</f>
        <v>0</v>
      </c>
      <c r="C280" s="786"/>
      <c r="D280" s="786"/>
      <c r="E280" s="786"/>
      <c r="F280" s="786"/>
      <c r="G280" s="1011"/>
      <c r="R280" s="205"/>
      <c r="S280" s="205"/>
      <c r="T280" s="205"/>
      <c r="U280" s="205"/>
      <c r="V280" s="205"/>
      <c r="W280" s="205"/>
      <c r="X280" s="205"/>
      <c r="Y280" s="205"/>
      <c r="Z280" s="205"/>
      <c r="AA280" s="205"/>
      <c r="AB280" s="205"/>
      <c r="AC280" s="205"/>
      <c r="AD280" s="205"/>
      <c r="AE280" s="205"/>
      <c r="AF280" s="205"/>
      <c r="AG280" s="205"/>
      <c r="AH280" s="205"/>
      <c r="AI280" s="205"/>
      <c r="AJ280" s="205"/>
      <c r="AK280" s="205"/>
      <c r="AL280" s="205"/>
      <c r="AM280" s="205"/>
      <c r="AN280" s="205"/>
      <c r="AO280" s="205"/>
      <c r="AP280" s="205"/>
      <c r="AQ280" s="205"/>
      <c r="AR280" s="205"/>
      <c r="AS280" s="205"/>
      <c r="AT280" s="205"/>
      <c r="AU280" s="205"/>
      <c r="AV280" s="205"/>
      <c r="AW280" s="205"/>
      <c r="AX280" s="205"/>
      <c r="AY280" s="205"/>
      <c r="AZ280" s="205"/>
      <c r="BA280" s="205"/>
      <c r="BB280" s="205"/>
      <c r="BC280" s="205"/>
      <c r="BD280" s="205"/>
      <c r="BE280" s="205"/>
      <c r="BF280" s="205"/>
      <c r="BG280" s="205"/>
      <c r="BH280" s="205"/>
      <c r="BI280" s="205"/>
      <c r="BJ280" s="205"/>
      <c r="BK280" s="205"/>
      <c r="BL280" s="205"/>
      <c r="BM280" s="205"/>
      <c r="BN280" s="205"/>
      <c r="BO280" s="205"/>
      <c r="BP280" s="205"/>
      <c r="BQ280" s="205"/>
      <c r="BR280" s="205"/>
    </row>
    <row r="281" spans="1:70" s="203" customFormat="1" hidden="1" x14ac:dyDescent="0.3">
      <c r="A281" s="786" t="s">
        <v>4</v>
      </c>
      <c r="B281" s="790">
        <f>SUM(B279:B280)</f>
        <v>0</v>
      </c>
      <c r="C281" s="786"/>
      <c r="D281" s="786"/>
      <c r="E281" s="786"/>
      <c r="F281" s="786"/>
      <c r="G281" s="1011"/>
      <c r="R281" s="205"/>
      <c r="S281" s="205"/>
      <c r="T281" s="205"/>
      <c r="U281" s="205"/>
      <c r="V281" s="205"/>
      <c r="W281" s="205"/>
      <c r="X281" s="205"/>
      <c r="Y281" s="205"/>
      <c r="Z281" s="205"/>
      <c r="AA281" s="205"/>
      <c r="AB281" s="205"/>
      <c r="AC281" s="205"/>
      <c r="AD281" s="205"/>
      <c r="AE281" s="205"/>
      <c r="AF281" s="205"/>
      <c r="AG281" s="205"/>
      <c r="AH281" s="205"/>
      <c r="AI281" s="205"/>
      <c r="AJ281" s="205"/>
      <c r="AK281" s="205"/>
      <c r="AL281" s="205"/>
      <c r="AM281" s="205"/>
      <c r="AN281" s="205"/>
      <c r="AO281" s="205"/>
      <c r="AP281" s="205"/>
      <c r="AQ281" s="205"/>
      <c r="AR281" s="205"/>
      <c r="AS281" s="205"/>
      <c r="AT281" s="205"/>
      <c r="AU281" s="205"/>
      <c r="AV281" s="205"/>
      <c r="AW281" s="205"/>
      <c r="AX281" s="205"/>
      <c r="AY281" s="205"/>
      <c r="AZ281" s="205"/>
      <c r="BA281" s="205"/>
      <c r="BB281" s="205"/>
      <c r="BC281" s="205"/>
      <c r="BD281" s="205"/>
      <c r="BE281" s="205"/>
      <c r="BF281" s="205"/>
      <c r="BG281" s="205"/>
      <c r="BH281" s="205"/>
      <c r="BI281" s="205"/>
      <c r="BJ281" s="205"/>
      <c r="BK281" s="205"/>
      <c r="BL281" s="205"/>
      <c r="BM281" s="205"/>
      <c r="BN281" s="205"/>
      <c r="BO281" s="205"/>
      <c r="BP281" s="205"/>
      <c r="BQ281" s="205"/>
      <c r="BR281" s="205"/>
    </row>
    <row r="282" spans="1:70" s="203" customFormat="1" hidden="1" x14ac:dyDescent="0.3">
      <c r="A282" s="786"/>
      <c r="B282" s="786"/>
      <c r="C282" s="786"/>
      <c r="D282" s="786"/>
      <c r="E282" s="786"/>
      <c r="F282" s="786"/>
      <c r="G282" s="1011"/>
      <c r="R282" s="205"/>
      <c r="S282" s="205"/>
      <c r="T282" s="205"/>
      <c r="U282" s="205"/>
      <c r="V282" s="205"/>
      <c r="W282" s="205"/>
      <c r="X282" s="205"/>
      <c r="Y282" s="205"/>
      <c r="Z282" s="205"/>
      <c r="AA282" s="205"/>
      <c r="AB282" s="205"/>
      <c r="AC282" s="205"/>
      <c r="AD282" s="205"/>
      <c r="AE282" s="205"/>
      <c r="AF282" s="205"/>
      <c r="AG282" s="205"/>
      <c r="AH282" s="205"/>
      <c r="AI282" s="205"/>
      <c r="AJ282" s="205"/>
      <c r="AK282" s="205"/>
      <c r="AL282" s="205"/>
      <c r="AM282" s="205"/>
      <c r="AN282" s="205"/>
      <c r="AO282" s="205"/>
      <c r="AP282" s="205"/>
      <c r="AQ282" s="205"/>
      <c r="AR282" s="205"/>
      <c r="AS282" s="205"/>
      <c r="AT282" s="205"/>
      <c r="AU282" s="205"/>
      <c r="AV282" s="205"/>
      <c r="AW282" s="205"/>
      <c r="AX282" s="205"/>
      <c r="AY282" s="205"/>
      <c r="AZ282" s="205"/>
      <c r="BA282" s="205"/>
      <c r="BB282" s="205"/>
      <c r="BC282" s="205"/>
      <c r="BD282" s="205"/>
      <c r="BE282" s="205"/>
      <c r="BF282" s="205"/>
      <c r="BG282" s="205"/>
      <c r="BH282" s="205"/>
      <c r="BI282" s="205"/>
      <c r="BJ282" s="205"/>
      <c r="BK282" s="205"/>
      <c r="BL282" s="205"/>
      <c r="BM282" s="205"/>
      <c r="BN282" s="205"/>
      <c r="BO282" s="205"/>
      <c r="BP282" s="205"/>
      <c r="BQ282" s="205"/>
      <c r="BR282" s="205"/>
    </row>
    <row r="283" spans="1:70" s="203" customFormat="1" hidden="1" x14ac:dyDescent="0.3">
      <c r="A283" s="786" t="s">
        <v>89</v>
      </c>
      <c r="B283" s="790">
        <f>$B$7*C242/12</f>
        <v>0</v>
      </c>
      <c r="C283" s="786"/>
      <c r="D283" s="786"/>
      <c r="E283" s="786"/>
      <c r="F283" s="786"/>
      <c r="G283" s="1011"/>
      <c r="R283" s="205"/>
      <c r="S283" s="205"/>
      <c r="T283" s="205"/>
      <c r="U283" s="205"/>
      <c r="V283" s="205"/>
      <c r="W283" s="205"/>
      <c r="X283" s="205"/>
      <c r="Y283" s="205"/>
      <c r="Z283" s="205"/>
      <c r="AA283" s="205"/>
      <c r="AB283" s="205"/>
      <c r="AC283" s="205"/>
      <c r="AD283" s="205"/>
      <c r="AE283" s="205"/>
      <c r="AF283" s="205"/>
      <c r="AG283" s="205"/>
      <c r="AH283" s="205"/>
      <c r="AI283" s="205"/>
      <c r="AJ283" s="205"/>
      <c r="AK283" s="205"/>
      <c r="AL283" s="205"/>
      <c r="AM283" s="205"/>
      <c r="AN283" s="205"/>
      <c r="AO283" s="205"/>
      <c r="AP283" s="205"/>
      <c r="AQ283" s="205"/>
      <c r="AR283" s="205"/>
      <c r="AS283" s="205"/>
      <c r="AT283" s="205"/>
      <c r="AU283" s="205"/>
      <c r="AV283" s="205"/>
      <c r="AW283" s="205"/>
      <c r="AX283" s="205"/>
      <c r="AY283" s="205"/>
      <c r="AZ283" s="205"/>
      <c r="BA283" s="205"/>
      <c r="BB283" s="205"/>
      <c r="BC283" s="205"/>
      <c r="BD283" s="205"/>
      <c r="BE283" s="205"/>
      <c r="BF283" s="205"/>
      <c r="BG283" s="205"/>
      <c r="BH283" s="205"/>
      <c r="BI283" s="205"/>
      <c r="BJ283" s="205"/>
      <c r="BK283" s="205"/>
      <c r="BL283" s="205"/>
      <c r="BM283" s="205"/>
      <c r="BN283" s="205"/>
      <c r="BO283" s="205"/>
      <c r="BP283" s="205"/>
      <c r="BQ283" s="205"/>
      <c r="BR283" s="205"/>
    </row>
    <row r="284" spans="1:70" s="203" customFormat="1" hidden="1" x14ac:dyDescent="0.3">
      <c r="A284" s="786"/>
      <c r="B284" s="786"/>
      <c r="C284" s="786"/>
      <c r="D284" s="786"/>
      <c r="E284" s="786"/>
      <c r="F284" s="786"/>
      <c r="G284" s="1011"/>
      <c r="R284" s="205"/>
      <c r="S284" s="205"/>
      <c r="T284" s="205"/>
      <c r="U284" s="205"/>
      <c r="V284" s="205"/>
      <c r="W284" s="205"/>
      <c r="X284" s="205"/>
      <c r="Y284" s="205"/>
      <c r="Z284" s="205"/>
      <c r="AA284" s="205"/>
      <c r="AB284" s="205"/>
      <c r="AC284" s="205"/>
      <c r="AD284" s="205"/>
      <c r="AE284" s="205"/>
      <c r="AF284" s="205"/>
      <c r="AG284" s="205"/>
      <c r="AH284" s="205"/>
      <c r="AI284" s="205"/>
      <c r="AJ284" s="205"/>
      <c r="AK284" s="205"/>
      <c r="AL284" s="205"/>
      <c r="AM284" s="205"/>
      <c r="AN284" s="205"/>
      <c r="AO284" s="205"/>
      <c r="AP284" s="205"/>
      <c r="AQ284" s="205"/>
      <c r="AR284" s="205"/>
      <c r="AS284" s="205"/>
      <c r="AT284" s="205"/>
      <c r="AU284" s="205"/>
      <c r="AV284" s="205"/>
      <c r="AW284" s="205"/>
      <c r="AX284" s="205"/>
      <c r="AY284" s="205"/>
      <c r="AZ284" s="205"/>
      <c r="BA284" s="205"/>
      <c r="BB284" s="205"/>
      <c r="BC284" s="205"/>
      <c r="BD284" s="205"/>
      <c r="BE284" s="205"/>
      <c r="BF284" s="205"/>
      <c r="BG284" s="205"/>
      <c r="BH284" s="205"/>
      <c r="BI284" s="205"/>
      <c r="BJ284" s="205"/>
      <c r="BK284" s="205"/>
      <c r="BL284" s="205"/>
      <c r="BM284" s="205"/>
      <c r="BN284" s="205"/>
      <c r="BO284" s="205"/>
      <c r="BP284" s="205"/>
      <c r="BQ284" s="205"/>
      <c r="BR284" s="205"/>
    </row>
    <row r="285" spans="1:70" s="203" customFormat="1" hidden="1" x14ac:dyDescent="0.3">
      <c r="A285" s="786" t="s">
        <v>90</v>
      </c>
      <c r="B285" s="790">
        <f>B283-B281</f>
        <v>0</v>
      </c>
      <c r="C285" s="786"/>
      <c r="D285" s="786"/>
      <c r="E285" s="786"/>
      <c r="F285" s="786"/>
      <c r="G285" s="1011"/>
      <c r="R285" s="205"/>
      <c r="S285" s="205"/>
      <c r="T285" s="205"/>
      <c r="U285" s="205"/>
      <c r="V285" s="205"/>
      <c r="W285" s="205"/>
      <c r="X285" s="205"/>
      <c r="Y285" s="205"/>
      <c r="Z285" s="205"/>
      <c r="AA285" s="205"/>
      <c r="AB285" s="205"/>
      <c r="AC285" s="205"/>
      <c r="AD285" s="205"/>
      <c r="AE285" s="205"/>
      <c r="AF285" s="205"/>
      <c r="AG285" s="205"/>
      <c r="AH285" s="205"/>
      <c r="AI285" s="205"/>
      <c r="AJ285" s="205"/>
      <c r="AK285" s="205"/>
      <c r="AL285" s="205"/>
      <c r="AM285" s="205"/>
      <c r="AN285" s="205"/>
      <c r="AO285" s="205"/>
      <c r="AP285" s="205"/>
      <c r="AQ285" s="205"/>
      <c r="AR285" s="205"/>
      <c r="AS285" s="205"/>
      <c r="AT285" s="205"/>
      <c r="AU285" s="205"/>
      <c r="AV285" s="205"/>
      <c r="AW285" s="205"/>
      <c r="AX285" s="205"/>
      <c r="AY285" s="205"/>
      <c r="AZ285" s="205"/>
      <c r="BA285" s="205"/>
      <c r="BB285" s="205"/>
      <c r="BC285" s="205"/>
      <c r="BD285" s="205"/>
      <c r="BE285" s="205"/>
      <c r="BF285" s="205"/>
      <c r="BG285" s="205"/>
      <c r="BH285" s="205"/>
      <c r="BI285" s="205"/>
      <c r="BJ285" s="205"/>
      <c r="BK285" s="205"/>
      <c r="BL285" s="205"/>
      <c r="BM285" s="205"/>
      <c r="BN285" s="205"/>
      <c r="BO285" s="205"/>
      <c r="BP285" s="205"/>
      <c r="BQ285" s="205"/>
      <c r="BR285" s="205"/>
    </row>
    <row r="286" spans="1:70" s="203" customFormat="1" hidden="1" x14ac:dyDescent="0.3">
      <c r="A286" s="786"/>
      <c r="B286" s="790"/>
      <c r="C286" s="786"/>
      <c r="D286" s="786"/>
      <c r="E286" s="786"/>
      <c r="F286" s="786"/>
      <c r="G286" s="1011"/>
      <c r="R286" s="205"/>
      <c r="S286" s="205"/>
      <c r="T286" s="205"/>
      <c r="U286" s="205"/>
      <c r="V286" s="205"/>
      <c r="W286" s="205"/>
      <c r="X286" s="205"/>
      <c r="Y286" s="205"/>
      <c r="Z286" s="205"/>
      <c r="AA286" s="205"/>
      <c r="AB286" s="205"/>
      <c r="AC286" s="205"/>
      <c r="AD286" s="205"/>
      <c r="AE286" s="205"/>
      <c r="AF286" s="205"/>
      <c r="AG286" s="205"/>
      <c r="AH286" s="205"/>
      <c r="AI286" s="205"/>
      <c r="AJ286" s="205"/>
      <c r="AK286" s="205"/>
      <c r="AL286" s="205"/>
      <c r="AM286" s="205"/>
      <c r="AN286" s="205"/>
      <c r="AO286" s="205"/>
      <c r="AP286" s="205"/>
      <c r="AQ286" s="205"/>
      <c r="AR286" s="205"/>
      <c r="AS286" s="205"/>
      <c r="AT286" s="205"/>
      <c r="AU286" s="205"/>
      <c r="AV286" s="205"/>
      <c r="AW286" s="205"/>
      <c r="AX286" s="205"/>
      <c r="AY286" s="205"/>
      <c r="AZ286" s="205"/>
      <c r="BA286" s="205"/>
      <c r="BB286" s="205"/>
      <c r="BC286" s="205"/>
      <c r="BD286" s="205"/>
      <c r="BE286" s="205"/>
      <c r="BF286" s="205"/>
      <c r="BG286" s="205"/>
      <c r="BH286" s="205"/>
      <c r="BI286" s="205"/>
      <c r="BJ286" s="205"/>
      <c r="BK286" s="205"/>
      <c r="BL286" s="205"/>
      <c r="BM286" s="205"/>
      <c r="BN286" s="205"/>
      <c r="BO286" s="205"/>
      <c r="BP286" s="205"/>
      <c r="BQ286" s="205"/>
      <c r="BR286" s="205"/>
    </row>
    <row r="287" spans="1:70" s="203" customFormat="1" hidden="1" x14ac:dyDescent="0.3">
      <c r="A287" s="788" t="s">
        <v>110</v>
      </c>
      <c r="B287" s="786"/>
      <c r="C287" s="786"/>
      <c r="D287" s="786"/>
      <c r="E287" s="786"/>
      <c r="F287" s="786"/>
      <c r="G287" s="1011"/>
      <c r="R287" s="205"/>
      <c r="S287" s="205"/>
      <c r="T287" s="205"/>
      <c r="U287" s="205"/>
      <c r="V287" s="205"/>
      <c r="W287" s="205"/>
      <c r="X287" s="205"/>
      <c r="Y287" s="205"/>
      <c r="Z287" s="205"/>
      <c r="AA287" s="205"/>
      <c r="AB287" s="205"/>
      <c r="AC287" s="205"/>
      <c r="AD287" s="205"/>
      <c r="AE287" s="205"/>
      <c r="AF287" s="205"/>
      <c r="AG287" s="205"/>
      <c r="AH287" s="205"/>
      <c r="AI287" s="205"/>
      <c r="AJ287" s="205"/>
      <c r="AK287" s="205"/>
      <c r="AL287" s="205"/>
      <c r="AM287" s="205"/>
      <c r="AN287" s="205"/>
      <c r="AO287" s="205"/>
      <c r="AP287" s="205"/>
      <c r="AQ287" s="205"/>
      <c r="AR287" s="205"/>
      <c r="AS287" s="205"/>
      <c r="AT287" s="205"/>
      <c r="AU287" s="205"/>
      <c r="AV287" s="205"/>
      <c r="AW287" s="205"/>
      <c r="AX287" s="205"/>
      <c r="AY287" s="205"/>
      <c r="AZ287" s="205"/>
      <c r="BA287" s="205"/>
      <c r="BB287" s="205"/>
      <c r="BC287" s="205"/>
      <c r="BD287" s="205"/>
      <c r="BE287" s="205"/>
      <c r="BF287" s="205"/>
      <c r="BG287" s="205"/>
      <c r="BH287" s="205"/>
      <c r="BI287" s="205"/>
      <c r="BJ287" s="205"/>
      <c r="BK287" s="205"/>
      <c r="BL287" s="205"/>
      <c r="BM287" s="205"/>
      <c r="BN287" s="205"/>
      <c r="BO287" s="205"/>
      <c r="BP287" s="205"/>
      <c r="BQ287" s="205"/>
      <c r="BR287" s="205"/>
    </row>
    <row r="288" spans="1:70" s="203" customFormat="1" hidden="1" x14ac:dyDescent="0.3">
      <c r="A288" s="789" t="s">
        <v>79</v>
      </c>
      <c r="B288" s="790">
        <f>C266</f>
        <v>0</v>
      </c>
      <c r="C288" s="786"/>
      <c r="D288" s="786"/>
      <c r="E288" s="786"/>
      <c r="F288" s="786"/>
      <c r="G288" s="1011"/>
      <c r="R288" s="205"/>
      <c r="S288" s="205"/>
      <c r="T288" s="205"/>
      <c r="U288" s="205"/>
      <c r="V288" s="205"/>
      <c r="W288" s="205"/>
      <c r="X288" s="205"/>
      <c r="Y288" s="205"/>
      <c r="Z288" s="205"/>
      <c r="AA288" s="205"/>
      <c r="AB288" s="205"/>
      <c r="AC288" s="205"/>
      <c r="AD288" s="205"/>
      <c r="AE288" s="205"/>
      <c r="AF288" s="205"/>
      <c r="AG288" s="205"/>
      <c r="AH288" s="205"/>
      <c r="AI288" s="205"/>
      <c r="AJ288" s="205"/>
      <c r="AK288" s="205"/>
      <c r="AL288" s="205"/>
      <c r="AM288" s="205"/>
      <c r="AN288" s="205"/>
      <c r="AO288" s="205"/>
      <c r="AP288" s="205"/>
      <c r="AQ288" s="205"/>
      <c r="AR288" s="205"/>
      <c r="AS288" s="205"/>
      <c r="AT288" s="205"/>
      <c r="AU288" s="205"/>
      <c r="AV288" s="205"/>
      <c r="AW288" s="205"/>
      <c r="AX288" s="205"/>
      <c r="AY288" s="205"/>
      <c r="AZ288" s="205"/>
      <c r="BA288" s="205"/>
      <c r="BB288" s="205"/>
      <c r="BC288" s="205"/>
      <c r="BD288" s="205"/>
      <c r="BE288" s="205"/>
      <c r="BF288" s="205"/>
      <c r="BG288" s="205"/>
      <c r="BH288" s="205"/>
      <c r="BI288" s="205"/>
      <c r="BJ288" s="205"/>
      <c r="BK288" s="205"/>
      <c r="BL288" s="205"/>
      <c r="BM288" s="205"/>
      <c r="BN288" s="205"/>
      <c r="BO288" s="205"/>
      <c r="BP288" s="205"/>
      <c r="BQ288" s="205"/>
      <c r="BR288" s="205"/>
    </row>
    <row r="289" spans="1:70" s="203" customFormat="1" hidden="1" x14ac:dyDescent="0.3">
      <c r="A289" s="789" t="s">
        <v>78</v>
      </c>
      <c r="B289" s="790">
        <f>C267</f>
        <v>0</v>
      </c>
      <c r="C289" s="786"/>
      <c r="D289" s="786"/>
      <c r="E289" s="786"/>
      <c r="F289" s="786"/>
      <c r="G289" s="1011"/>
      <c r="R289" s="205"/>
      <c r="S289" s="205"/>
      <c r="T289" s="205"/>
      <c r="U289" s="205"/>
      <c r="V289" s="205"/>
      <c r="W289" s="205"/>
      <c r="X289" s="205"/>
      <c r="Y289" s="205"/>
      <c r="Z289" s="205"/>
      <c r="AA289" s="205"/>
      <c r="AB289" s="205"/>
      <c r="AC289" s="205"/>
      <c r="AD289" s="205"/>
      <c r="AE289" s="205"/>
      <c r="AF289" s="205"/>
      <c r="AG289" s="205"/>
      <c r="AH289" s="205"/>
      <c r="AI289" s="205"/>
      <c r="AJ289" s="205"/>
      <c r="AK289" s="205"/>
      <c r="AL289" s="205"/>
      <c r="AM289" s="205"/>
      <c r="AN289" s="205"/>
      <c r="AO289" s="205"/>
      <c r="AP289" s="205"/>
      <c r="AQ289" s="205"/>
      <c r="AR289" s="205"/>
      <c r="AS289" s="205"/>
      <c r="AT289" s="205"/>
      <c r="AU289" s="205"/>
      <c r="AV289" s="205"/>
      <c r="AW289" s="205"/>
      <c r="AX289" s="205"/>
      <c r="AY289" s="205"/>
      <c r="AZ289" s="205"/>
      <c r="BA289" s="205"/>
      <c r="BB289" s="205"/>
      <c r="BC289" s="205"/>
      <c r="BD289" s="205"/>
      <c r="BE289" s="205"/>
      <c r="BF289" s="205"/>
      <c r="BG289" s="205"/>
      <c r="BH289" s="205"/>
      <c r="BI289" s="205"/>
      <c r="BJ289" s="205"/>
      <c r="BK289" s="205"/>
      <c r="BL289" s="205"/>
      <c r="BM289" s="205"/>
      <c r="BN289" s="205"/>
      <c r="BO289" s="205"/>
      <c r="BP289" s="205"/>
      <c r="BQ289" s="205"/>
      <c r="BR289" s="205"/>
    </row>
    <row r="290" spans="1:70" s="203" customFormat="1" hidden="1" x14ac:dyDescent="0.3">
      <c r="A290" s="786" t="s">
        <v>4</v>
      </c>
      <c r="B290" s="790">
        <f>SUM(B288:B289)</f>
        <v>0</v>
      </c>
      <c r="C290" s="786"/>
      <c r="D290" s="786"/>
      <c r="E290" s="786"/>
      <c r="F290" s="786"/>
      <c r="G290" s="1011"/>
      <c r="R290" s="205"/>
      <c r="S290" s="205"/>
      <c r="T290" s="205"/>
      <c r="U290" s="205"/>
      <c r="V290" s="205"/>
      <c r="W290" s="205"/>
      <c r="X290" s="205"/>
      <c r="Y290" s="205"/>
      <c r="Z290" s="205"/>
      <c r="AA290" s="205"/>
      <c r="AB290" s="205"/>
      <c r="AC290" s="205"/>
      <c r="AD290" s="205"/>
      <c r="AE290" s="205"/>
      <c r="AF290" s="205"/>
      <c r="AG290" s="205"/>
      <c r="AH290" s="205"/>
      <c r="AI290" s="205"/>
      <c r="AJ290" s="205"/>
      <c r="AK290" s="205"/>
      <c r="AL290" s="205"/>
      <c r="AM290" s="205"/>
      <c r="AN290" s="205"/>
      <c r="AO290" s="205"/>
      <c r="AP290" s="205"/>
      <c r="AQ290" s="205"/>
      <c r="AR290" s="205"/>
      <c r="AS290" s="205"/>
      <c r="AT290" s="205"/>
      <c r="AU290" s="205"/>
      <c r="AV290" s="205"/>
      <c r="AW290" s="205"/>
      <c r="AX290" s="205"/>
      <c r="AY290" s="205"/>
      <c r="AZ290" s="205"/>
      <c r="BA290" s="205"/>
      <c r="BB290" s="205"/>
      <c r="BC290" s="205"/>
      <c r="BD290" s="205"/>
      <c r="BE290" s="205"/>
      <c r="BF290" s="205"/>
      <c r="BG290" s="205"/>
      <c r="BH290" s="205"/>
      <c r="BI290" s="205"/>
      <c r="BJ290" s="205"/>
      <c r="BK290" s="205"/>
      <c r="BL290" s="205"/>
      <c r="BM290" s="205"/>
      <c r="BN290" s="205"/>
      <c r="BO290" s="205"/>
      <c r="BP290" s="205"/>
      <c r="BQ290" s="205"/>
      <c r="BR290" s="205"/>
    </row>
    <row r="291" spans="1:70" s="203" customFormat="1" hidden="1" x14ac:dyDescent="0.3">
      <c r="A291" s="786"/>
      <c r="B291" s="786"/>
      <c r="C291" s="786"/>
      <c r="D291" s="786"/>
      <c r="E291" s="786"/>
      <c r="F291" s="786"/>
      <c r="G291" s="1011"/>
      <c r="R291" s="205"/>
      <c r="S291" s="205"/>
      <c r="T291" s="205"/>
      <c r="U291" s="205"/>
      <c r="V291" s="205"/>
      <c r="W291" s="205"/>
      <c r="X291" s="205"/>
      <c r="Y291" s="205"/>
      <c r="Z291" s="205"/>
      <c r="AA291" s="205"/>
      <c r="AB291" s="205"/>
      <c r="AC291" s="205"/>
      <c r="AD291" s="205"/>
      <c r="AE291" s="205"/>
      <c r="AF291" s="205"/>
      <c r="AG291" s="205"/>
      <c r="AH291" s="205"/>
      <c r="AI291" s="205"/>
      <c r="AJ291" s="205"/>
      <c r="AK291" s="205"/>
      <c r="AL291" s="205"/>
      <c r="AM291" s="205"/>
      <c r="AN291" s="205"/>
      <c r="AO291" s="205"/>
      <c r="AP291" s="205"/>
      <c r="AQ291" s="205"/>
      <c r="AR291" s="205"/>
      <c r="AS291" s="205"/>
      <c r="AT291" s="205"/>
      <c r="AU291" s="205"/>
      <c r="AV291" s="205"/>
      <c r="AW291" s="205"/>
      <c r="AX291" s="205"/>
      <c r="AY291" s="205"/>
      <c r="AZ291" s="205"/>
      <c r="BA291" s="205"/>
      <c r="BB291" s="205"/>
      <c r="BC291" s="205"/>
      <c r="BD291" s="205"/>
      <c r="BE291" s="205"/>
      <c r="BF291" s="205"/>
      <c r="BG291" s="205"/>
      <c r="BH291" s="205"/>
      <c r="BI291" s="205"/>
      <c r="BJ291" s="205"/>
      <c r="BK291" s="205"/>
      <c r="BL291" s="205"/>
      <c r="BM291" s="205"/>
      <c r="BN291" s="205"/>
      <c r="BO291" s="205"/>
      <c r="BP291" s="205"/>
      <c r="BQ291" s="205"/>
      <c r="BR291" s="205"/>
    </row>
    <row r="292" spans="1:70" s="203" customFormat="1" hidden="1" x14ac:dyDescent="0.3">
      <c r="A292" s="786" t="s">
        <v>89</v>
      </c>
      <c r="B292" s="790">
        <f>$B$7*C257/12</f>
        <v>0</v>
      </c>
      <c r="C292" s="786"/>
      <c r="D292" s="786"/>
      <c r="E292" s="786"/>
      <c r="F292" s="786"/>
      <c r="G292" s="1011"/>
      <c r="R292" s="205"/>
      <c r="S292" s="205"/>
      <c r="T292" s="205"/>
      <c r="U292" s="205"/>
      <c r="V292" s="205"/>
      <c r="W292" s="205"/>
      <c r="X292" s="205"/>
      <c r="Y292" s="205"/>
      <c r="Z292" s="205"/>
      <c r="AA292" s="205"/>
      <c r="AB292" s="205"/>
      <c r="AC292" s="205"/>
      <c r="AD292" s="205"/>
      <c r="AE292" s="205"/>
      <c r="AF292" s="205"/>
      <c r="AG292" s="205"/>
      <c r="AH292" s="205"/>
      <c r="AI292" s="205"/>
      <c r="AJ292" s="205"/>
      <c r="AK292" s="205"/>
      <c r="AL292" s="205"/>
      <c r="AM292" s="205"/>
      <c r="AN292" s="205"/>
      <c r="AO292" s="205"/>
      <c r="AP292" s="205"/>
      <c r="AQ292" s="205"/>
      <c r="AR292" s="205"/>
      <c r="AS292" s="205"/>
      <c r="AT292" s="205"/>
      <c r="AU292" s="205"/>
      <c r="AV292" s="205"/>
      <c r="AW292" s="205"/>
      <c r="AX292" s="205"/>
      <c r="AY292" s="205"/>
      <c r="AZ292" s="205"/>
      <c r="BA292" s="205"/>
      <c r="BB292" s="205"/>
      <c r="BC292" s="205"/>
      <c r="BD292" s="205"/>
      <c r="BE292" s="205"/>
      <c r="BF292" s="205"/>
      <c r="BG292" s="205"/>
      <c r="BH292" s="205"/>
      <c r="BI292" s="205"/>
      <c r="BJ292" s="205"/>
      <c r="BK292" s="205"/>
      <c r="BL292" s="205"/>
      <c r="BM292" s="205"/>
      <c r="BN292" s="205"/>
      <c r="BO292" s="205"/>
      <c r="BP292" s="205"/>
      <c r="BQ292" s="205"/>
      <c r="BR292" s="205"/>
    </row>
    <row r="293" spans="1:70" s="203" customFormat="1" hidden="1" x14ac:dyDescent="0.3">
      <c r="A293" s="786"/>
      <c r="B293" s="786"/>
      <c r="C293" s="786"/>
      <c r="D293" s="786"/>
      <c r="E293" s="786"/>
      <c r="F293" s="786"/>
      <c r="G293" s="1011"/>
      <c r="R293" s="205"/>
      <c r="S293" s="205"/>
      <c r="T293" s="205"/>
      <c r="U293" s="205"/>
      <c r="V293" s="205"/>
      <c r="W293" s="205"/>
      <c r="X293" s="205"/>
      <c r="Y293" s="205"/>
      <c r="Z293" s="205"/>
      <c r="AA293" s="205"/>
      <c r="AB293" s="205"/>
      <c r="AC293" s="205"/>
      <c r="AD293" s="205"/>
      <c r="AE293" s="205"/>
      <c r="AF293" s="205"/>
      <c r="AG293" s="205"/>
      <c r="AH293" s="205"/>
      <c r="AI293" s="205"/>
      <c r="AJ293" s="205"/>
      <c r="AK293" s="205"/>
      <c r="AL293" s="205"/>
      <c r="AM293" s="205"/>
      <c r="AN293" s="205"/>
      <c r="AO293" s="205"/>
      <c r="AP293" s="205"/>
      <c r="AQ293" s="205"/>
      <c r="AR293" s="205"/>
      <c r="AS293" s="205"/>
      <c r="AT293" s="205"/>
      <c r="AU293" s="205"/>
      <c r="AV293" s="205"/>
      <c r="AW293" s="205"/>
      <c r="AX293" s="205"/>
      <c r="AY293" s="205"/>
      <c r="AZ293" s="205"/>
      <c r="BA293" s="205"/>
      <c r="BB293" s="205"/>
      <c r="BC293" s="205"/>
      <c r="BD293" s="205"/>
      <c r="BE293" s="205"/>
      <c r="BF293" s="205"/>
      <c r="BG293" s="205"/>
      <c r="BH293" s="205"/>
      <c r="BI293" s="205"/>
      <c r="BJ293" s="205"/>
      <c r="BK293" s="205"/>
      <c r="BL293" s="205"/>
      <c r="BM293" s="205"/>
      <c r="BN293" s="205"/>
      <c r="BO293" s="205"/>
      <c r="BP293" s="205"/>
      <c r="BQ293" s="205"/>
      <c r="BR293" s="205"/>
    </row>
    <row r="294" spans="1:70" s="203" customFormat="1" hidden="1" x14ac:dyDescent="0.3">
      <c r="A294" s="786" t="s">
        <v>90</v>
      </c>
      <c r="B294" s="790">
        <f>B292-B290</f>
        <v>0</v>
      </c>
      <c r="C294" s="786"/>
      <c r="D294" s="786"/>
      <c r="E294" s="786"/>
      <c r="F294" s="786"/>
      <c r="G294" s="1011"/>
      <c r="R294" s="205"/>
      <c r="S294" s="205"/>
      <c r="T294" s="205"/>
      <c r="U294" s="205"/>
      <c r="V294" s="205"/>
      <c r="W294" s="205"/>
      <c r="X294" s="205"/>
      <c r="Y294" s="205"/>
      <c r="Z294" s="205"/>
      <c r="AA294" s="205"/>
      <c r="AB294" s="205"/>
      <c r="AC294" s="205"/>
      <c r="AD294" s="205"/>
      <c r="AE294" s="205"/>
      <c r="AF294" s="205"/>
      <c r="AG294" s="205"/>
      <c r="AH294" s="205"/>
      <c r="AI294" s="205"/>
      <c r="AJ294" s="205"/>
      <c r="AK294" s="205"/>
      <c r="AL294" s="205"/>
      <c r="AM294" s="205"/>
      <c r="AN294" s="205"/>
      <c r="AO294" s="205"/>
      <c r="AP294" s="205"/>
      <c r="AQ294" s="205"/>
      <c r="AR294" s="205"/>
      <c r="AS294" s="205"/>
      <c r="AT294" s="205"/>
      <c r="AU294" s="205"/>
      <c r="AV294" s="205"/>
      <c r="AW294" s="205"/>
      <c r="AX294" s="205"/>
      <c r="AY294" s="205"/>
      <c r="AZ294" s="205"/>
      <c r="BA294" s="205"/>
      <c r="BB294" s="205"/>
      <c r="BC294" s="205"/>
      <c r="BD294" s="205"/>
      <c r="BE294" s="205"/>
      <c r="BF294" s="205"/>
      <c r="BG294" s="205"/>
      <c r="BH294" s="205"/>
      <c r="BI294" s="205"/>
      <c r="BJ294" s="205"/>
      <c r="BK294" s="205"/>
      <c r="BL294" s="205"/>
      <c r="BM294" s="205"/>
      <c r="BN294" s="205"/>
      <c r="BO294" s="205"/>
      <c r="BP294" s="205"/>
      <c r="BQ294" s="205"/>
      <c r="BR294" s="205"/>
    </row>
    <row r="295" spans="1:70" s="203" customFormat="1" hidden="1" x14ac:dyDescent="0.3">
      <c r="A295" s="786"/>
      <c r="B295" s="786"/>
      <c r="C295" s="786"/>
      <c r="D295" s="786"/>
      <c r="E295" s="786"/>
      <c r="F295" s="786"/>
      <c r="G295" s="1011"/>
      <c r="R295" s="205"/>
      <c r="S295" s="205"/>
      <c r="T295" s="205"/>
      <c r="U295" s="205"/>
      <c r="V295" s="205"/>
      <c r="W295" s="205"/>
      <c r="X295" s="205"/>
      <c r="Y295" s="205"/>
      <c r="Z295" s="205"/>
      <c r="AA295" s="205"/>
      <c r="AB295" s="205"/>
      <c r="AC295" s="205"/>
      <c r="AD295" s="205"/>
      <c r="AE295" s="205"/>
      <c r="AF295" s="205"/>
      <c r="AG295" s="205"/>
      <c r="AH295" s="205"/>
      <c r="AI295" s="205"/>
      <c r="AJ295" s="205"/>
      <c r="AK295" s="205"/>
      <c r="AL295" s="205"/>
      <c r="AM295" s="205"/>
      <c r="AN295" s="205"/>
      <c r="AO295" s="205"/>
      <c r="AP295" s="205"/>
      <c r="AQ295" s="205"/>
      <c r="AR295" s="205"/>
      <c r="AS295" s="205"/>
      <c r="AT295" s="205"/>
      <c r="AU295" s="205"/>
      <c r="AV295" s="205"/>
      <c r="AW295" s="205"/>
      <c r="AX295" s="205"/>
      <c r="AY295" s="205"/>
      <c r="AZ295" s="205"/>
      <c r="BA295" s="205"/>
      <c r="BB295" s="205"/>
      <c r="BC295" s="205"/>
      <c r="BD295" s="205"/>
      <c r="BE295" s="205"/>
      <c r="BF295" s="205"/>
      <c r="BG295" s="205"/>
      <c r="BH295" s="205"/>
      <c r="BI295" s="205"/>
      <c r="BJ295" s="205"/>
      <c r="BK295" s="205"/>
      <c r="BL295" s="205"/>
      <c r="BM295" s="205"/>
      <c r="BN295" s="205"/>
      <c r="BO295" s="205"/>
      <c r="BP295" s="205"/>
      <c r="BQ295" s="205"/>
      <c r="BR295" s="205"/>
    </row>
    <row r="296" spans="1:70" s="203" customFormat="1" x14ac:dyDescent="0.3">
      <c r="A296" s="773"/>
      <c r="B296" s="773"/>
      <c r="C296" s="773"/>
      <c r="D296" s="773"/>
      <c r="E296" s="773"/>
      <c r="F296" s="773"/>
      <c r="G296" s="773"/>
      <c r="R296" s="205"/>
      <c r="S296" s="205"/>
      <c r="T296" s="205"/>
      <c r="U296" s="205"/>
      <c r="V296" s="205"/>
      <c r="W296" s="205"/>
      <c r="X296" s="205"/>
      <c r="Y296" s="205"/>
      <c r="Z296" s="205"/>
      <c r="AA296" s="205"/>
      <c r="AB296" s="205"/>
      <c r="AC296" s="205"/>
      <c r="AD296" s="205"/>
      <c r="AE296" s="205"/>
      <c r="AF296" s="205"/>
      <c r="AG296" s="205"/>
      <c r="AH296" s="205"/>
      <c r="AI296" s="205"/>
      <c r="AJ296" s="205"/>
      <c r="AK296" s="205"/>
      <c r="AL296" s="205"/>
      <c r="AM296" s="205"/>
      <c r="AN296" s="205"/>
      <c r="AO296" s="205"/>
      <c r="AP296" s="205"/>
      <c r="AQ296" s="205"/>
      <c r="AR296" s="205"/>
      <c r="AS296" s="205"/>
      <c r="AT296" s="205"/>
      <c r="AU296" s="205"/>
      <c r="AV296" s="205"/>
      <c r="AW296" s="205"/>
      <c r="AX296" s="205"/>
      <c r="AY296" s="205"/>
      <c r="AZ296" s="205"/>
      <c r="BA296" s="205"/>
      <c r="BB296" s="205"/>
      <c r="BC296" s="205"/>
      <c r="BD296" s="205"/>
      <c r="BE296" s="205"/>
      <c r="BF296" s="205"/>
      <c r="BG296" s="205"/>
      <c r="BH296" s="205"/>
      <c r="BI296" s="205"/>
      <c r="BJ296" s="205"/>
      <c r="BK296" s="205"/>
      <c r="BL296" s="205"/>
      <c r="BM296" s="205"/>
      <c r="BN296" s="205"/>
      <c r="BO296" s="205"/>
      <c r="BP296" s="205"/>
      <c r="BQ296" s="205"/>
      <c r="BR296" s="205"/>
    </row>
    <row r="297" spans="1:70" s="203" customFormat="1" x14ac:dyDescent="0.3">
      <c r="A297" s="773"/>
      <c r="B297" s="773"/>
      <c r="C297" s="773"/>
      <c r="D297" s="773"/>
      <c r="E297" s="773"/>
      <c r="F297" s="773"/>
      <c r="G297" s="773"/>
      <c r="R297" s="205"/>
      <c r="S297" s="205"/>
      <c r="T297" s="205"/>
      <c r="U297" s="205"/>
      <c r="V297" s="205"/>
      <c r="W297" s="205"/>
      <c r="X297" s="205"/>
      <c r="Y297" s="205"/>
      <c r="Z297" s="205"/>
      <c r="AA297" s="205"/>
      <c r="AB297" s="205"/>
      <c r="AC297" s="205"/>
      <c r="AD297" s="205"/>
      <c r="AE297" s="205"/>
      <c r="AF297" s="205"/>
      <c r="AG297" s="205"/>
      <c r="AH297" s="205"/>
      <c r="AI297" s="205"/>
      <c r="AJ297" s="205"/>
      <c r="AK297" s="205"/>
      <c r="AL297" s="205"/>
      <c r="AM297" s="205"/>
      <c r="AN297" s="205"/>
      <c r="AO297" s="205"/>
      <c r="AP297" s="205"/>
      <c r="AQ297" s="205"/>
      <c r="AR297" s="205"/>
      <c r="AS297" s="205"/>
      <c r="AT297" s="205"/>
      <c r="AU297" s="205"/>
      <c r="AV297" s="205"/>
      <c r="AW297" s="205"/>
      <c r="AX297" s="205"/>
      <c r="AY297" s="205"/>
      <c r="AZ297" s="205"/>
      <c r="BA297" s="205"/>
      <c r="BB297" s="205"/>
      <c r="BC297" s="205"/>
      <c r="BD297" s="205"/>
      <c r="BE297" s="205"/>
      <c r="BF297" s="205"/>
      <c r="BG297" s="205"/>
      <c r="BH297" s="205"/>
      <c r="BI297" s="205"/>
      <c r="BJ297" s="205"/>
      <c r="BK297" s="205"/>
      <c r="BL297" s="205"/>
      <c r="BM297" s="205"/>
      <c r="BN297" s="205"/>
      <c r="BO297" s="205"/>
      <c r="BP297" s="205"/>
      <c r="BQ297" s="205"/>
      <c r="BR297" s="205"/>
    </row>
    <row r="298" spans="1:70" s="203" customFormat="1" x14ac:dyDescent="0.3">
      <c r="A298" s="1545" t="s">
        <v>88</v>
      </c>
      <c r="B298" s="1545"/>
      <c r="C298" s="1545"/>
      <c r="D298" s="1545"/>
      <c r="E298" s="1545"/>
      <c r="F298" s="1545"/>
      <c r="G298" s="1011"/>
      <c r="R298" s="205"/>
      <c r="S298" s="205"/>
      <c r="T298" s="205"/>
      <c r="U298" s="205"/>
      <c r="V298" s="205"/>
      <c r="W298" s="205"/>
      <c r="X298" s="205"/>
      <c r="Y298" s="205"/>
      <c r="Z298" s="205"/>
      <c r="AA298" s="205"/>
      <c r="AB298" s="205"/>
      <c r="AC298" s="205"/>
      <c r="AD298" s="205"/>
      <c r="AE298" s="205"/>
      <c r="AF298" s="205"/>
      <c r="AG298" s="205"/>
      <c r="AH298" s="205"/>
      <c r="AI298" s="205"/>
      <c r="AJ298" s="205"/>
      <c r="AK298" s="205"/>
      <c r="AL298" s="205"/>
      <c r="AM298" s="205"/>
      <c r="AN298" s="205"/>
      <c r="AO298" s="205"/>
      <c r="AP298" s="205"/>
      <c r="AQ298" s="205"/>
      <c r="AR298" s="205"/>
      <c r="AS298" s="205"/>
      <c r="AT298" s="205"/>
      <c r="AU298" s="205"/>
      <c r="AV298" s="205"/>
      <c r="AW298" s="205"/>
      <c r="AX298" s="205"/>
      <c r="AY298" s="205"/>
      <c r="AZ298" s="205"/>
      <c r="BA298" s="205"/>
      <c r="BB298" s="205"/>
      <c r="BC298" s="205"/>
      <c r="BD298" s="205"/>
      <c r="BE298" s="205"/>
      <c r="BF298" s="205"/>
      <c r="BG298" s="205"/>
      <c r="BH298" s="205"/>
      <c r="BI298" s="205"/>
      <c r="BJ298" s="205"/>
      <c r="BK298" s="205"/>
      <c r="BL298" s="205"/>
      <c r="BM298" s="205"/>
      <c r="BN298" s="205"/>
      <c r="BO298" s="205"/>
      <c r="BP298" s="205"/>
      <c r="BQ298" s="205"/>
      <c r="BR298" s="205"/>
    </row>
    <row r="299" spans="1:70" s="203" customFormat="1" x14ac:dyDescent="0.3">
      <c r="A299" s="792" t="s">
        <v>87</v>
      </c>
      <c r="B299" s="793" t="s">
        <v>80</v>
      </c>
      <c r="C299" s="793" t="s">
        <v>93</v>
      </c>
      <c r="D299" s="794"/>
      <c r="E299" s="794"/>
      <c r="F299" s="794"/>
      <c r="G299" s="1011"/>
      <c r="R299" s="205"/>
      <c r="S299" s="205"/>
      <c r="T299" s="205"/>
      <c r="U299" s="205"/>
      <c r="V299" s="205"/>
      <c r="W299" s="205"/>
      <c r="X299" s="205"/>
      <c r="Y299" s="205"/>
      <c r="Z299" s="205"/>
      <c r="AA299" s="205"/>
      <c r="AB299" s="205"/>
      <c r="AC299" s="205"/>
      <c r="AD299" s="205"/>
      <c r="AE299" s="205"/>
      <c r="AF299" s="205"/>
      <c r="AG299" s="205"/>
      <c r="AH299" s="205"/>
      <c r="AI299" s="205"/>
      <c r="AJ299" s="205"/>
      <c r="AK299" s="205"/>
      <c r="AL299" s="205"/>
      <c r="AM299" s="205"/>
      <c r="AN299" s="205"/>
      <c r="AO299" s="205"/>
      <c r="AP299" s="205"/>
      <c r="AQ299" s="205"/>
      <c r="AR299" s="205"/>
      <c r="AS299" s="205"/>
      <c r="AT299" s="205"/>
      <c r="AU299" s="205"/>
      <c r="AV299" s="205"/>
      <c r="AW299" s="205"/>
      <c r="AX299" s="205"/>
      <c r="AY299" s="205"/>
      <c r="AZ299" s="205"/>
      <c r="BA299" s="205"/>
      <c r="BB299" s="205"/>
      <c r="BC299" s="205"/>
      <c r="BD299" s="205"/>
      <c r="BE299" s="205"/>
      <c r="BF299" s="205"/>
      <c r="BG299" s="205"/>
      <c r="BH299" s="205"/>
      <c r="BI299" s="205"/>
      <c r="BJ299" s="205"/>
      <c r="BK299" s="205"/>
      <c r="BL299" s="205"/>
      <c r="BM299" s="205"/>
      <c r="BN299" s="205"/>
      <c r="BO299" s="205"/>
      <c r="BP299" s="205"/>
      <c r="BQ299" s="205"/>
      <c r="BR299" s="205"/>
    </row>
    <row r="300" spans="1:70" s="203" customFormat="1" x14ac:dyDescent="0.3">
      <c r="A300" s="816">
        <v>1200</v>
      </c>
      <c r="B300" s="794" t="s">
        <v>81</v>
      </c>
      <c r="C300" s="794" t="s">
        <v>76</v>
      </c>
      <c r="D300" s="794"/>
      <c r="E300" s="794"/>
      <c r="F300" s="794"/>
      <c r="G300" s="1011"/>
      <c r="R300" s="205"/>
      <c r="S300" s="205"/>
      <c r="T300" s="205"/>
      <c r="U300" s="205"/>
      <c r="V300" s="205"/>
      <c r="W300" s="205"/>
      <c r="X300" s="205"/>
      <c r="Y300" s="205"/>
      <c r="Z300" s="205"/>
      <c r="AA300" s="205"/>
      <c r="AB300" s="205"/>
      <c r="AC300" s="205"/>
      <c r="AD300" s="205"/>
      <c r="AE300" s="205"/>
      <c r="AF300" s="205"/>
      <c r="AG300" s="205"/>
      <c r="AH300" s="205"/>
      <c r="AI300" s="205"/>
      <c r="AJ300" s="205"/>
      <c r="AK300" s="205"/>
      <c r="AL300" s="205"/>
      <c r="AM300" s="205"/>
      <c r="AN300" s="205"/>
      <c r="AO300" s="205"/>
      <c r="AP300" s="205"/>
      <c r="AQ300" s="205"/>
      <c r="AR300" s="205"/>
      <c r="AS300" s="205"/>
      <c r="AT300" s="205"/>
      <c r="AU300" s="205"/>
      <c r="AV300" s="205"/>
      <c r="AW300" s="205"/>
      <c r="AX300" s="205"/>
      <c r="AY300" s="205"/>
      <c r="AZ300" s="205"/>
      <c r="BA300" s="205"/>
      <c r="BB300" s="205"/>
      <c r="BC300" s="205"/>
      <c r="BD300" s="205"/>
      <c r="BE300" s="205"/>
      <c r="BF300" s="205"/>
      <c r="BG300" s="205"/>
      <c r="BH300" s="205"/>
      <c r="BI300" s="205"/>
      <c r="BJ300" s="205"/>
      <c r="BK300" s="205"/>
      <c r="BL300" s="205"/>
      <c r="BM300" s="205"/>
      <c r="BN300" s="205"/>
      <c r="BO300" s="205"/>
      <c r="BP300" s="205"/>
      <c r="BQ300" s="205"/>
      <c r="BR300" s="205"/>
    </row>
    <row r="301" spans="1:70" s="203" customFormat="1" x14ac:dyDescent="0.3">
      <c r="A301" s="816">
        <v>33600</v>
      </c>
      <c r="B301" s="794" t="s">
        <v>82</v>
      </c>
      <c r="C301" s="794" t="s">
        <v>77</v>
      </c>
      <c r="D301" s="794"/>
      <c r="E301" s="794"/>
      <c r="F301" s="794"/>
      <c r="G301" s="1011"/>
      <c r="R301" s="205"/>
      <c r="S301" s="205"/>
      <c r="T301" s="205"/>
      <c r="U301" s="205"/>
      <c r="V301" s="205"/>
      <c r="W301" s="205"/>
      <c r="X301" s="205"/>
      <c r="Y301" s="205"/>
      <c r="Z301" s="205"/>
      <c r="AA301" s="205"/>
      <c r="AB301" s="205"/>
      <c r="AC301" s="205"/>
      <c r="AD301" s="205"/>
      <c r="AE301" s="205"/>
      <c r="AF301" s="205"/>
      <c r="AG301" s="205"/>
      <c r="AH301" s="205"/>
      <c r="AI301" s="205"/>
      <c r="AJ301" s="205"/>
      <c r="AK301" s="205"/>
      <c r="AL301" s="205"/>
      <c r="AM301" s="205"/>
      <c r="AN301" s="205"/>
      <c r="AO301" s="205"/>
      <c r="AP301" s="205"/>
      <c r="AQ301" s="205"/>
      <c r="AR301" s="205"/>
      <c r="AS301" s="205"/>
      <c r="AT301" s="205"/>
      <c r="AU301" s="205"/>
      <c r="AV301" s="205"/>
      <c r="AW301" s="205"/>
      <c r="AX301" s="205"/>
      <c r="AY301" s="205"/>
      <c r="AZ301" s="205"/>
      <c r="BA301" s="205"/>
      <c r="BB301" s="205"/>
      <c r="BC301" s="205"/>
      <c r="BD301" s="205"/>
      <c r="BE301" s="205"/>
      <c r="BF301" s="205"/>
      <c r="BG301" s="205"/>
      <c r="BH301" s="205"/>
      <c r="BI301" s="205"/>
      <c r="BJ301" s="205"/>
      <c r="BK301" s="205"/>
      <c r="BL301" s="205"/>
      <c r="BM301" s="205"/>
      <c r="BN301" s="205"/>
      <c r="BO301" s="205"/>
      <c r="BP301" s="205"/>
      <c r="BQ301" s="205"/>
      <c r="BR301" s="205"/>
    </row>
    <row r="302" spans="1:70" s="203" customFormat="1" x14ac:dyDescent="0.3">
      <c r="A302" s="816">
        <v>31200</v>
      </c>
      <c r="B302" s="794" t="s">
        <v>83</v>
      </c>
      <c r="C302" s="794" t="s">
        <v>77</v>
      </c>
      <c r="D302" s="794"/>
      <c r="E302" s="794"/>
      <c r="F302" s="794"/>
      <c r="G302" s="1011"/>
      <c r="R302" s="205"/>
      <c r="S302" s="205"/>
      <c r="T302" s="205"/>
      <c r="U302" s="205"/>
      <c r="V302" s="205"/>
      <c r="W302" s="205"/>
      <c r="X302" s="205"/>
      <c r="Y302" s="205"/>
      <c r="Z302" s="205"/>
      <c r="AA302" s="205"/>
      <c r="AB302" s="205"/>
      <c r="AC302" s="205"/>
      <c r="AD302" s="205"/>
      <c r="AE302" s="205"/>
      <c r="AF302" s="205"/>
      <c r="AG302" s="205"/>
      <c r="AH302" s="205"/>
      <c r="AI302" s="205"/>
      <c r="AJ302" s="205"/>
      <c r="AK302" s="205"/>
      <c r="AL302" s="205"/>
      <c r="AM302" s="205"/>
      <c r="AN302" s="205"/>
      <c r="AO302" s="205"/>
      <c r="AP302" s="205"/>
      <c r="AQ302" s="205"/>
      <c r="AR302" s="205"/>
      <c r="AS302" s="205"/>
      <c r="AT302" s="205"/>
      <c r="AU302" s="205"/>
      <c r="AV302" s="205"/>
      <c r="AW302" s="205"/>
      <c r="AX302" s="205"/>
      <c r="AY302" s="205"/>
      <c r="AZ302" s="205"/>
      <c r="BA302" s="205"/>
      <c r="BB302" s="205"/>
      <c r="BC302" s="205"/>
      <c r="BD302" s="205"/>
      <c r="BE302" s="205"/>
      <c r="BF302" s="205"/>
      <c r="BG302" s="205"/>
      <c r="BH302" s="205"/>
      <c r="BI302" s="205"/>
      <c r="BJ302" s="205"/>
      <c r="BK302" s="205"/>
      <c r="BL302" s="205"/>
      <c r="BM302" s="205"/>
      <c r="BN302" s="205"/>
      <c r="BO302" s="205"/>
      <c r="BP302" s="205"/>
      <c r="BQ302" s="205"/>
      <c r="BR302" s="205"/>
    </row>
    <row r="303" spans="1:70" s="203" customFormat="1" x14ac:dyDescent="0.3">
      <c r="A303" s="816">
        <v>26400</v>
      </c>
      <c r="B303" s="794" t="s">
        <v>84</v>
      </c>
      <c r="C303" s="794" t="s">
        <v>77</v>
      </c>
      <c r="D303" s="794"/>
      <c r="E303" s="794"/>
      <c r="F303" s="794"/>
      <c r="G303" s="1011"/>
      <c r="R303" s="205"/>
      <c r="S303" s="205"/>
      <c r="T303" s="205"/>
      <c r="U303" s="205"/>
      <c r="V303" s="205"/>
      <c r="W303" s="205"/>
      <c r="X303" s="205"/>
      <c r="Y303" s="205"/>
      <c r="Z303" s="205"/>
      <c r="AA303" s="205"/>
      <c r="AB303" s="205"/>
      <c r="AC303" s="205"/>
      <c r="AD303" s="205"/>
      <c r="AE303" s="205"/>
      <c r="AF303" s="205"/>
      <c r="AG303" s="205"/>
      <c r="AH303" s="205"/>
      <c r="AI303" s="205"/>
      <c r="AJ303" s="205"/>
      <c r="AK303" s="205"/>
      <c r="AL303" s="205"/>
      <c r="AM303" s="205"/>
      <c r="AN303" s="205"/>
      <c r="AO303" s="205"/>
      <c r="AP303" s="205"/>
      <c r="AQ303" s="205"/>
      <c r="AR303" s="205"/>
      <c r="AS303" s="205"/>
      <c r="AT303" s="205"/>
      <c r="AU303" s="205"/>
      <c r="AV303" s="205"/>
      <c r="AW303" s="205"/>
      <c r="AX303" s="205"/>
      <c r="AY303" s="205"/>
      <c r="AZ303" s="205"/>
      <c r="BA303" s="205"/>
      <c r="BB303" s="205"/>
      <c r="BC303" s="205"/>
      <c r="BD303" s="205"/>
      <c r="BE303" s="205"/>
      <c r="BF303" s="205"/>
      <c r="BG303" s="205"/>
      <c r="BH303" s="205"/>
      <c r="BI303" s="205"/>
      <c r="BJ303" s="205"/>
      <c r="BK303" s="205"/>
      <c r="BL303" s="205"/>
      <c r="BM303" s="205"/>
      <c r="BN303" s="205"/>
      <c r="BO303" s="205"/>
      <c r="BP303" s="205"/>
      <c r="BQ303" s="205"/>
      <c r="BR303" s="205"/>
    </row>
    <row r="304" spans="1:70" s="203" customFormat="1" x14ac:dyDescent="0.3">
      <c r="A304" s="816">
        <v>24000</v>
      </c>
      <c r="B304" s="794" t="s">
        <v>85</v>
      </c>
      <c r="C304" s="794" t="s">
        <v>77</v>
      </c>
      <c r="D304" s="794"/>
      <c r="E304" s="794"/>
      <c r="F304" s="794"/>
      <c r="G304" s="1011"/>
      <c r="R304" s="205"/>
      <c r="S304" s="205"/>
      <c r="T304" s="205"/>
      <c r="U304" s="205"/>
      <c r="V304" s="205"/>
      <c r="W304" s="205"/>
      <c r="X304" s="205"/>
      <c r="Y304" s="205"/>
      <c r="Z304" s="205"/>
      <c r="AA304" s="205"/>
      <c r="AB304" s="205"/>
      <c r="AC304" s="205"/>
      <c r="AD304" s="205"/>
      <c r="AE304" s="205"/>
      <c r="AF304" s="205"/>
      <c r="AG304" s="205"/>
      <c r="AH304" s="205"/>
      <c r="AI304" s="205"/>
      <c r="AJ304" s="205"/>
      <c r="AK304" s="205"/>
      <c r="AL304" s="205"/>
      <c r="AM304" s="205"/>
      <c r="AN304" s="205"/>
      <c r="AO304" s="205"/>
      <c r="AP304" s="205"/>
      <c r="AQ304" s="205"/>
      <c r="AR304" s="205"/>
      <c r="AS304" s="205"/>
      <c r="AT304" s="205"/>
      <c r="AU304" s="205"/>
      <c r="AV304" s="205"/>
      <c r="AW304" s="205"/>
      <c r="AX304" s="205"/>
      <c r="AY304" s="205"/>
      <c r="AZ304" s="205"/>
      <c r="BA304" s="205"/>
      <c r="BB304" s="205"/>
      <c r="BC304" s="205"/>
      <c r="BD304" s="205"/>
      <c r="BE304" s="205"/>
      <c r="BF304" s="205"/>
      <c r="BG304" s="205"/>
      <c r="BH304" s="205"/>
      <c r="BI304" s="205"/>
      <c r="BJ304" s="205"/>
      <c r="BK304" s="205"/>
      <c r="BL304" s="205"/>
      <c r="BM304" s="205"/>
      <c r="BN304" s="205"/>
      <c r="BO304" s="205"/>
      <c r="BP304" s="205"/>
      <c r="BQ304" s="205"/>
      <c r="BR304" s="205"/>
    </row>
    <row r="305" spans="1:70" s="203" customFormat="1" x14ac:dyDescent="0.3">
      <c r="A305" s="817">
        <v>24000</v>
      </c>
      <c r="B305" s="795" t="s">
        <v>86</v>
      </c>
      <c r="C305" s="795" t="s">
        <v>77</v>
      </c>
      <c r="D305" s="795"/>
      <c r="E305" s="795"/>
      <c r="F305" s="795"/>
      <c r="G305" s="1011"/>
      <c r="R305" s="205"/>
      <c r="S305" s="205"/>
      <c r="T305" s="205"/>
      <c r="U305" s="205"/>
      <c r="V305" s="205"/>
      <c r="W305" s="205"/>
      <c r="X305" s="205"/>
      <c r="Y305" s="205"/>
      <c r="Z305" s="205"/>
      <c r="AA305" s="205"/>
      <c r="AB305" s="205"/>
      <c r="AC305" s="205"/>
      <c r="AD305" s="205"/>
      <c r="AE305" s="205"/>
      <c r="AF305" s="205"/>
      <c r="AG305" s="205"/>
      <c r="AH305" s="205"/>
      <c r="AI305" s="205"/>
      <c r="AJ305" s="205"/>
      <c r="AK305" s="205"/>
      <c r="AL305" s="205"/>
      <c r="AM305" s="205"/>
      <c r="AN305" s="205"/>
      <c r="AO305" s="205"/>
      <c r="AP305" s="205"/>
      <c r="AQ305" s="205"/>
      <c r="AR305" s="205"/>
      <c r="AS305" s="205"/>
      <c r="AT305" s="205"/>
      <c r="AU305" s="205"/>
      <c r="AV305" s="205"/>
      <c r="AW305" s="205"/>
      <c r="AX305" s="205"/>
      <c r="AY305" s="205"/>
      <c r="AZ305" s="205"/>
      <c r="BA305" s="205"/>
      <c r="BB305" s="205"/>
      <c r="BC305" s="205"/>
      <c r="BD305" s="205"/>
      <c r="BE305" s="205"/>
      <c r="BF305" s="205"/>
      <c r="BG305" s="205"/>
      <c r="BH305" s="205"/>
      <c r="BI305" s="205"/>
      <c r="BJ305" s="205"/>
      <c r="BK305" s="205"/>
      <c r="BL305" s="205"/>
      <c r="BM305" s="205"/>
      <c r="BN305" s="205"/>
      <c r="BO305" s="205"/>
      <c r="BP305" s="205"/>
      <c r="BQ305" s="205"/>
      <c r="BR305" s="205"/>
    </row>
    <row r="306" spans="1:70" s="203" customFormat="1" x14ac:dyDescent="0.3">
      <c r="A306" s="795"/>
      <c r="B306" s="795"/>
      <c r="C306" s="795"/>
      <c r="D306" s="795"/>
      <c r="E306" s="795"/>
      <c r="F306" s="795"/>
      <c r="G306" s="1011"/>
      <c r="R306" s="205"/>
      <c r="S306" s="205"/>
      <c r="T306" s="205"/>
      <c r="U306" s="205"/>
      <c r="V306" s="205"/>
      <c r="W306" s="205"/>
      <c r="X306" s="205"/>
      <c r="Y306" s="205"/>
      <c r="Z306" s="205"/>
      <c r="AA306" s="205"/>
      <c r="AB306" s="205"/>
      <c r="AC306" s="205"/>
      <c r="AD306" s="205"/>
      <c r="AE306" s="205"/>
      <c r="AF306" s="205"/>
      <c r="AG306" s="205"/>
      <c r="AH306" s="205"/>
      <c r="AI306" s="205"/>
      <c r="AJ306" s="205"/>
      <c r="AK306" s="205"/>
      <c r="AL306" s="205"/>
      <c r="AM306" s="205"/>
      <c r="AN306" s="205"/>
      <c r="AO306" s="205"/>
      <c r="AP306" s="205"/>
      <c r="AQ306" s="205"/>
      <c r="AR306" s="205"/>
      <c r="AS306" s="205"/>
      <c r="AT306" s="205"/>
      <c r="AU306" s="205"/>
      <c r="AV306" s="205"/>
      <c r="AW306" s="205"/>
      <c r="AX306" s="205"/>
      <c r="AY306" s="205"/>
      <c r="AZ306" s="205"/>
      <c r="BA306" s="205"/>
      <c r="BB306" s="205"/>
      <c r="BC306" s="205"/>
      <c r="BD306" s="205"/>
      <c r="BE306" s="205"/>
      <c r="BF306" s="205"/>
      <c r="BG306" s="205"/>
      <c r="BH306" s="205"/>
      <c r="BI306" s="205"/>
      <c r="BJ306" s="205"/>
      <c r="BK306" s="205"/>
      <c r="BL306" s="205"/>
      <c r="BM306" s="205"/>
      <c r="BN306" s="205"/>
      <c r="BO306" s="205"/>
      <c r="BP306" s="205"/>
      <c r="BQ306" s="205"/>
      <c r="BR306" s="205"/>
    </row>
    <row r="307" spans="1:70" s="203" customFormat="1" x14ac:dyDescent="0.3">
      <c r="A307" s="773"/>
      <c r="B307" s="773"/>
      <c r="C307" s="773"/>
      <c r="D307" s="773"/>
      <c r="E307" s="773"/>
      <c r="F307" s="773"/>
      <c r="G307" s="1011"/>
      <c r="R307" s="205"/>
      <c r="S307" s="205"/>
      <c r="T307" s="205"/>
      <c r="U307" s="205"/>
      <c r="V307" s="205"/>
      <c r="W307" s="205"/>
      <c r="X307" s="205"/>
      <c r="Y307" s="205"/>
      <c r="Z307" s="205"/>
      <c r="AA307" s="205"/>
      <c r="AB307" s="205"/>
      <c r="AC307" s="205"/>
      <c r="AD307" s="205"/>
      <c r="AE307" s="205"/>
      <c r="AF307" s="205"/>
      <c r="AG307" s="205"/>
      <c r="AH307" s="205"/>
      <c r="AI307" s="205"/>
      <c r="AJ307" s="205"/>
      <c r="AK307" s="205"/>
      <c r="AL307" s="205"/>
      <c r="AM307" s="205"/>
      <c r="AN307" s="205"/>
      <c r="AO307" s="205"/>
      <c r="AP307" s="205"/>
      <c r="AQ307" s="205"/>
      <c r="AR307" s="205"/>
      <c r="AS307" s="205"/>
      <c r="AT307" s="205"/>
      <c r="AU307" s="205"/>
      <c r="AV307" s="205"/>
      <c r="AW307" s="205"/>
      <c r="AX307" s="205"/>
      <c r="AY307" s="205"/>
      <c r="AZ307" s="205"/>
      <c r="BA307" s="205"/>
      <c r="BB307" s="205"/>
      <c r="BC307" s="205"/>
      <c r="BD307" s="205"/>
      <c r="BE307" s="205"/>
      <c r="BF307" s="205"/>
      <c r="BG307" s="205"/>
      <c r="BH307" s="205"/>
      <c r="BI307" s="205"/>
      <c r="BJ307" s="205"/>
      <c r="BK307" s="205"/>
      <c r="BL307" s="205"/>
      <c r="BM307" s="205"/>
      <c r="BN307" s="205"/>
      <c r="BO307" s="205"/>
      <c r="BP307" s="205"/>
      <c r="BQ307" s="205"/>
      <c r="BR307" s="205"/>
    </row>
    <row r="308" spans="1:70" s="203" customFormat="1" x14ac:dyDescent="0.3">
      <c r="A308" s="796" t="s">
        <v>94</v>
      </c>
      <c r="B308" s="797"/>
      <c r="C308" s="797"/>
      <c r="D308" s="797"/>
      <c r="E308" s="797"/>
      <c r="F308" s="798"/>
      <c r="G308" s="1011"/>
      <c r="R308" s="205"/>
      <c r="S308" s="205"/>
      <c r="T308" s="205"/>
      <c r="U308" s="205"/>
      <c r="V308" s="205"/>
      <c r="W308" s="205"/>
      <c r="X308" s="205"/>
      <c r="Y308" s="205"/>
      <c r="Z308" s="205"/>
      <c r="AA308" s="205"/>
      <c r="AB308" s="205"/>
      <c r="AC308" s="205"/>
      <c r="AD308" s="205"/>
      <c r="AE308" s="205"/>
      <c r="AF308" s="205"/>
      <c r="AG308" s="205"/>
      <c r="AH308" s="205"/>
      <c r="AI308" s="205"/>
      <c r="AJ308" s="205"/>
      <c r="AK308" s="205"/>
      <c r="AL308" s="205"/>
      <c r="AM308" s="205"/>
      <c r="AN308" s="205"/>
      <c r="AO308" s="205"/>
      <c r="AP308" s="205"/>
      <c r="AQ308" s="205"/>
      <c r="AR308" s="205"/>
      <c r="AS308" s="205"/>
      <c r="AT308" s="205"/>
      <c r="AU308" s="205"/>
      <c r="AV308" s="205"/>
      <c r="AW308" s="205"/>
      <c r="AX308" s="205"/>
      <c r="AY308" s="205"/>
      <c r="AZ308" s="205"/>
      <c r="BA308" s="205"/>
      <c r="BB308" s="205"/>
      <c r="BC308" s="205"/>
      <c r="BD308" s="205"/>
      <c r="BE308" s="205"/>
      <c r="BF308" s="205"/>
      <c r="BG308" s="205"/>
      <c r="BH308" s="205"/>
      <c r="BI308" s="205"/>
      <c r="BJ308" s="205"/>
      <c r="BK308" s="205"/>
      <c r="BL308" s="205"/>
      <c r="BM308" s="205"/>
      <c r="BN308" s="205"/>
      <c r="BO308" s="205"/>
      <c r="BP308" s="205"/>
      <c r="BQ308" s="205"/>
      <c r="BR308" s="205"/>
    </row>
    <row r="309" spans="1:70" s="203" customFormat="1" x14ac:dyDescent="0.3">
      <c r="A309" s="799" t="s">
        <v>96</v>
      </c>
      <c r="B309" s="595"/>
      <c r="C309" s="595"/>
      <c r="D309" s="595"/>
      <c r="E309" s="595"/>
      <c r="F309" s="800"/>
      <c r="G309" s="1011"/>
      <c r="R309" s="205"/>
      <c r="S309" s="205"/>
      <c r="T309" s="205"/>
      <c r="U309" s="205"/>
      <c r="V309" s="205"/>
      <c r="W309" s="205"/>
      <c r="X309" s="205"/>
      <c r="Y309" s="205"/>
      <c r="Z309" s="205"/>
      <c r="AA309" s="205"/>
      <c r="AB309" s="205"/>
      <c r="AC309" s="205"/>
      <c r="AD309" s="205"/>
      <c r="AE309" s="205"/>
      <c r="AF309" s="205"/>
      <c r="AG309" s="205"/>
      <c r="AH309" s="205"/>
      <c r="AI309" s="205"/>
      <c r="AJ309" s="205"/>
      <c r="AK309" s="205"/>
      <c r="AL309" s="205"/>
      <c r="AM309" s="205"/>
      <c r="AN309" s="205"/>
      <c r="AO309" s="205"/>
      <c r="AP309" s="205"/>
      <c r="AQ309" s="205"/>
      <c r="AR309" s="205"/>
      <c r="AS309" s="205"/>
      <c r="AT309" s="205"/>
      <c r="AU309" s="205"/>
      <c r="AV309" s="205"/>
      <c r="AW309" s="205"/>
      <c r="AX309" s="205"/>
      <c r="AY309" s="205"/>
      <c r="AZ309" s="205"/>
      <c r="BA309" s="205"/>
      <c r="BB309" s="205"/>
      <c r="BC309" s="205"/>
      <c r="BD309" s="205"/>
      <c r="BE309" s="205"/>
      <c r="BF309" s="205"/>
      <c r="BG309" s="205"/>
      <c r="BH309" s="205"/>
      <c r="BI309" s="205"/>
      <c r="BJ309" s="205"/>
      <c r="BK309" s="205"/>
      <c r="BL309" s="205"/>
      <c r="BM309" s="205"/>
      <c r="BN309" s="205"/>
      <c r="BO309" s="205"/>
      <c r="BP309" s="205"/>
      <c r="BQ309" s="205"/>
      <c r="BR309" s="205"/>
    </row>
    <row r="310" spans="1:70" s="203" customFormat="1" x14ac:dyDescent="0.3">
      <c r="A310" s="1157" t="s">
        <v>535</v>
      </c>
      <c r="B310" s="595"/>
      <c r="C310" s="595"/>
      <c r="D310" s="595"/>
      <c r="E310" s="595"/>
      <c r="F310" s="800"/>
      <c r="G310" s="1011"/>
      <c r="R310" s="205"/>
      <c r="S310" s="205"/>
      <c r="T310" s="205"/>
      <c r="U310" s="205"/>
      <c r="V310" s="205"/>
      <c r="W310" s="205"/>
      <c r="X310" s="205"/>
      <c r="Y310" s="205"/>
      <c r="Z310" s="205"/>
      <c r="AA310" s="205"/>
      <c r="AB310" s="205"/>
      <c r="AC310" s="205"/>
      <c r="AD310" s="205"/>
      <c r="AE310" s="205"/>
      <c r="AF310" s="205"/>
      <c r="AG310" s="205"/>
      <c r="AH310" s="205"/>
      <c r="AI310" s="205"/>
      <c r="AJ310" s="205"/>
      <c r="AK310" s="205"/>
      <c r="AL310" s="205"/>
      <c r="AM310" s="205"/>
      <c r="AN310" s="205"/>
      <c r="AO310" s="205"/>
      <c r="AP310" s="205"/>
      <c r="AQ310" s="205"/>
      <c r="AR310" s="205"/>
      <c r="AS310" s="205"/>
      <c r="AT310" s="205"/>
      <c r="AU310" s="205"/>
      <c r="AV310" s="205"/>
      <c r="AW310" s="205"/>
      <c r="AX310" s="205"/>
      <c r="AY310" s="205"/>
      <c r="AZ310" s="205"/>
      <c r="BA310" s="205"/>
      <c r="BB310" s="205"/>
      <c r="BC310" s="205"/>
      <c r="BD310" s="205"/>
      <c r="BE310" s="205"/>
      <c r="BF310" s="205"/>
      <c r="BG310" s="205"/>
      <c r="BH310" s="205"/>
      <c r="BI310" s="205"/>
      <c r="BJ310" s="205"/>
      <c r="BK310" s="205"/>
      <c r="BL310" s="205"/>
      <c r="BM310" s="205"/>
      <c r="BN310" s="205"/>
      <c r="BO310" s="205"/>
      <c r="BP310" s="205"/>
      <c r="BQ310" s="205"/>
      <c r="BR310" s="205"/>
    </row>
    <row r="311" spans="1:70" s="203" customFormat="1" x14ac:dyDescent="0.3">
      <c r="A311" s="1091"/>
      <c r="B311" s="802"/>
      <c r="C311" s="802"/>
      <c r="D311" s="802"/>
      <c r="E311" s="802"/>
      <c r="F311" s="803"/>
      <c r="G311" s="1011"/>
      <c r="R311" s="205"/>
      <c r="S311" s="205"/>
      <c r="T311" s="205"/>
      <c r="U311" s="205"/>
      <c r="V311" s="205"/>
      <c r="W311" s="205"/>
      <c r="X311" s="205"/>
      <c r="Y311" s="205"/>
      <c r="Z311" s="205"/>
      <c r="AA311" s="205"/>
      <c r="AB311" s="205"/>
      <c r="AC311" s="205"/>
      <c r="AD311" s="205"/>
      <c r="AE311" s="205"/>
      <c r="AF311" s="205"/>
      <c r="AG311" s="205"/>
      <c r="AH311" s="205"/>
      <c r="AI311" s="205"/>
      <c r="AJ311" s="205"/>
      <c r="AK311" s="205"/>
      <c r="AL311" s="205"/>
      <c r="AM311" s="205"/>
      <c r="AN311" s="205"/>
      <c r="AO311" s="205"/>
      <c r="AP311" s="205"/>
      <c r="AQ311" s="205"/>
      <c r="AR311" s="205"/>
      <c r="AS311" s="205"/>
      <c r="AT311" s="205"/>
      <c r="AU311" s="205"/>
      <c r="AV311" s="205"/>
      <c r="AW311" s="205"/>
      <c r="AX311" s="205"/>
      <c r="AY311" s="205"/>
      <c r="AZ311" s="205"/>
      <c r="BA311" s="205"/>
      <c r="BB311" s="205"/>
      <c r="BC311" s="205"/>
      <c r="BD311" s="205"/>
      <c r="BE311" s="205"/>
      <c r="BF311" s="205"/>
      <c r="BG311" s="205"/>
      <c r="BH311" s="205"/>
      <c r="BI311" s="205"/>
      <c r="BJ311" s="205"/>
      <c r="BK311" s="205"/>
      <c r="BL311" s="205"/>
      <c r="BM311" s="205"/>
      <c r="BN311" s="205"/>
      <c r="BO311" s="205"/>
      <c r="BP311" s="205"/>
      <c r="BQ311" s="205"/>
      <c r="BR311" s="205"/>
    </row>
    <row r="312" spans="1:70" x14ac:dyDescent="0.3">
      <c r="A312" s="804"/>
      <c r="B312" s="805"/>
      <c r="C312" s="805"/>
      <c r="D312" s="805"/>
      <c r="E312" s="805"/>
      <c r="F312" s="805"/>
    </row>
    <row r="313" spans="1:70" x14ac:dyDescent="0.3">
      <c r="A313" s="804"/>
      <c r="B313" s="805"/>
      <c r="C313" s="805"/>
      <c r="D313" s="805"/>
      <c r="E313" s="805"/>
      <c r="F313" s="805"/>
    </row>
  </sheetData>
  <sheetProtection algorithmName="SHA-512" hashValue="aCJCJirjefijZ22F/yn4aARINyRlduKqFLAYhh1jjqX2IHApklDYVkUF5VfKfVv2Hjgt46ocM3jcOSqXIY3RuQ==" saltValue="YCPsNmWPYbk9BnJIdIx3Dw==" spinCount="100000" sheet="1" formatCells="0" formatColumns="0" selectLockedCells="1"/>
  <mergeCells count="18">
    <mergeCell ref="A298:F298"/>
    <mergeCell ref="A40:F40"/>
    <mergeCell ref="A45:F45"/>
    <mergeCell ref="A9:F9"/>
    <mergeCell ref="A69:F69"/>
    <mergeCell ref="A100:F100"/>
    <mergeCell ref="A105:F105"/>
    <mergeCell ref="A126:F126"/>
    <mergeCell ref="A157:F157"/>
    <mergeCell ref="A162:F162"/>
    <mergeCell ref="A276:F276"/>
    <mergeCell ref="A183:F183"/>
    <mergeCell ref="A214:F214"/>
    <mergeCell ref="A219:F219"/>
    <mergeCell ref="A240:F240"/>
    <mergeCell ref="A271:F271"/>
    <mergeCell ref="A1:F1"/>
    <mergeCell ref="A3:F3"/>
  </mergeCells>
  <dataValidations count="3">
    <dataValidation type="whole" allowBlank="1" showInputMessage="1" showErrorMessage="1" errorTitle="Hit me one mo' time, Jack. " error="Enter a tuition amount that is less than the available amount directly above." sqref="B18 B78 B135 B192 B249">
      <formula1>0</formula1>
      <formula2>C14-1</formula2>
    </dataValidation>
    <dataValidation type="whole" allowBlank="1" showInputMessage="1" showErrorMessage="1" errorTitle="Hit me one mo' time, Jack. " error="Enter a tuition amount that is less than the available amount directly above." sqref="C17 C32:C33 C77 C92:C93 C134 C149:C150 C191 C206:C207 C248 C263:C264">
      <formula1>0</formula1>
      <formula2>C13-1</formula2>
    </dataValidation>
    <dataValidation type="list" allowBlank="1" showInputMessage="1" showErrorMessage="1" sqref="C14 D15:D16 C29 D30:D31 C74 D75:D76 C89 D90:D91 C131 D132:D133 C146 D147:D148 C188 D189:D190 C203 D204:D205 C245 D246:D247 C260 D261:D262">
      <formula1>$A$47:$A$48</formula1>
    </dataValidation>
  </dataValidations>
  <hyperlinks>
    <hyperlink ref="A308" r:id="rId1"/>
  </hyperlinks>
  <pageMargins left="0.25" right="0.25" top="0.75" bottom="0.75" header="0.3" footer="0.3"/>
  <pageSetup orientation="portrait" horizontalDpi="200" verticalDpi="200" r:id="rId2"/>
  <headerFooter>
    <oddHeader>&amp;RPilot 11/14</oddHeader>
  </headerFooter>
  <drawing r:id="rId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defaultColWidth="8.88671875" defaultRowHeight="13.2" x14ac:dyDescent="0.25"/>
  <cols>
    <col min="1" max="16384" width="8.88671875" style="862"/>
  </cols>
  <sheetData>
    <row r="1" spans="1:1" ht="14.4" x14ac:dyDescent="0.3">
      <c r="A1" s="218" t="s">
        <v>521</v>
      </c>
    </row>
    <row r="3" spans="1:1" ht="14.4" x14ac:dyDescent="0.3">
      <c r="A3" s="1092" t="s">
        <v>524</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Normal="100" workbookViewId="0">
      <selection activeCell="E15" sqref="E15"/>
    </sheetView>
  </sheetViews>
  <sheetFormatPr defaultColWidth="8.88671875" defaultRowHeight="13.2" x14ac:dyDescent="0.25"/>
  <sheetData>
    <row r="1" spans="1:5" ht="14.4" x14ac:dyDescent="0.3">
      <c r="A1" s="218" t="s">
        <v>521</v>
      </c>
    </row>
    <row r="3" spans="1:5" ht="14.4" x14ac:dyDescent="0.3">
      <c r="A3" s="1092" t="s">
        <v>525</v>
      </c>
    </row>
    <row r="14" spans="1:5" x14ac:dyDescent="0.25">
      <c r="E14">
        <v>100000</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defaultColWidth="8.88671875" defaultRowHeight="13.2" x14ac:dyDescent="0.25"/>
  <sheetData>
    <row r="1" spans="1:1" ht="14.4" x14ac:dyDescent="0.3">
      <c r="A1" s="218" t="s">
        <v>521</v>
      </c>
    </row>
    <row r="3" spans="1:1" ht="14.4" x14ac:dyDescent="0.3">
      <c r="A3" s="1092" t="s">
        <v>526</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defaultColWidth="8.88671875" defaultRowHeight="13.2" x14ac:dyDescent="0.25"/>
  <sheetData>
    <row r="1" spans="1:1" ht="14.4" x14ac:dyDescent="0.3">
      <c r="A1" s="218" t="s">
        <v>521</v>
      </c>
    </row>
    <row r="3" spans="1:1" ht="14.4" x14ac:dyDescent="0.3">
      <c r="A3" s="1092" t="s">
        <v>528</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defaultColWidth="8.88671875" defaultRowHeight="13.2" x14ac:dyDescent="0.25"/>
  <sheetData>
    <row r="1" spans="1:1" ht="14.4" x14ac:dyDescent="0.3">
      <c r="A1" s="218" t="s">
        <v>521</v>
      </c>
    </row>
    <row r="3" spans="1:1" ht="14.4" x14ac:dyDescent="0.3">
      <c r="A3" s="1092" t="s">
        <v>527</v>
      </c>
    </row>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election activeCell="A3" sqref="A3"/>
    </sheetView>
  </sheetViews>
  <sheetFormatPr defaultColWidth="8.88671875" defaultRowHeight="13.2" x14ac:dyDescent="0.25"/>
  <sheetData>
    <row r="1" spans="1:4" ht="14.4" x14ac:dyDescent="0.3">
      <c r="A1" s="218" t="s">
        <v>521</v>
      </c>
    </row>
    <row r="3" spans="1:4" ht="14.4" x14ac:dyDescent="0.3">
      <c r="A3" s="1092" t="s">
        <v>522</v>
      </c>
    </row>
    <row r="4" spans="1:4" x14ac:dyDescent="0.25">
      <c r="A4" s="96"/>
      <c r="B4" s="96"/>
      <c r="D4" s="96"/>
    </row>
  </sheetData>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defaultColWidth="8.88671875" defaultRowHeight="13.2" x14ac:dyDescent="0.25"/>
  <sheetData>
    <row r="1" spans="1:1" ht="14.4" x14ac:dyDescent="0.3">
      <c r="A1" s="218" t="s">
        <v>521</v>
      </c>
    </row>
    <row r="3" spans="1:1" ht="14.4" x14ac:dyDescent="0.3">
      <c r="A3" s="1092" t="s">
        <v>523</v>
      </c>
    </row>
  </sheetData>
  <pageMargins left="0.7" right="0.7" top="0.75" bottom="0.75" header="0.3" footer="0.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Normal="100" workbookViewId="0">
      <selection activeCell="H21" sqref="H21"/>
    </sheetView>
  </sheetViews>
  <sheetFormatPr defaultColWidth="8.88671875" defaultRowHeight="13.2" x14ac:dyDescent="0.25"/>
  <sheetData>
    <row r="1" spans="1:1" ht="14.4" x14ac:dyDescent="0.3">
      <c r="A1" s="218" t="s">
        <v>287</v>
      </c>
    </row>
    <row r="2" spans="1:1" x14ac:dyDescent="0.25">
      <c r="A2" s="96" t="s">
        <v>451</v>
      </c>
    </row>
    <row r="3" spans="1:1" x14ac:dyDescent="0.25">
      <c r="A3" s="96"/>
    </row>
    <row r="5" spans="1:1" x14ac:dyDescent="0.25">
      <c r="A5" s="96"/>
    </row>
  </sheetData>
  <pageMargins left="0.7" right="0.7" top="0.75" bottom="0.75" header="0.3" footer="0.3"/>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Z25"/>
  <sheetViews>
    <sheetView zoomScale="75" zoomScaleNormal="75" workbookViewId="0">
      <selection activeCell="J49" sqref="J49"/>
    </sheetView>
  </sheetViews>
  <sheetFormatPr defaultColWidth="8.88671875" defaultRowHeight="13.2" x14ac:dyDescent="0.25"/>
  <cols>
    <col min="1" max="1" width="26.33203125" style="862" customWidth="1"/>
    <col min="2" max="2" width="25.33203125" style="862" customWidth="1"/>
    <col min="3" max="3" width="14.88671875" style="862" customWidth="1"/>
    <col min="4" max="7" width="11.33203125" style="862" customWidth="1"/>
    <col min="8" max="8" width="20.6640625" style="862" customWidth="1"/>
    <col min="9" max="9" width="13.88671875" style="862" customWidth="1"/>
    <col min="10" max="10" width="13.6640625" style="862" customWidth="1"/>
    <col min="11" max="11" width="13.33203125" style="862" customWidth="1"/>
    <col min="12" max="16384" width="8.88671875" style="862"/>
  </cols>
  <sheetData>
    <row r="1" spans="1:78" ht="14.4" thickBot="1" x14ac:dyDescent="0.3">
      <c r="A1" s="843"/>
      <c r="B1" s="844"/>
      <c r="C1" s="845"/>
      <c r="D1" s="845"/>
      <c r="E1" s="845"/>
      <c r="F1" s="845"/>
      <c r="G1" s="845"/>
      <c r="H1" s="845"/>
      <c r="I1" s="845"/>
      <c r="J1" s="845"/>
      <c r="K1" s="994" t="s">
        <v>512</v>
      </c>
    </row>
    <row r="2" spans="1:78" s="867" customFormat="1" ht="13.8" x14ac:dyDescent="0.25">
      <c r="A2" s="863" t="s">
        <v>490</v>
      </c>
      <c r="B2" s="864"/>
      <c r="C2" s="865"/>
      <c r="D2" s="865"/>
      <c r="E2" s="865"/>
      <c r="F2" s="865"/>
      <c r="G2" s="865"/>
      <c r="H2" s="865"/>
      <c r="I2" s="865"/>
      <c r="J2" s="865"/>
      <c r="K2" s="865"/>
      <c r="L2" s="866"/>
      <c r="M2" s="866"/>
      <c r="N2" s="866"/>
      <c r="O2" s="866"/>
      <c r="P2" s="866"/>
      <c r="Q2" s="866"/>
      <c r="R2" s="866"/>
      <c r="S2" s="866"/>
      <c r="T2" s="866"/>
      <c r="U2" s="866"/>
      <c r="W2" s="866"/>
      <c r="X2" s="868"/>
      <c r="Y2" s="868"/>
      <c r="Z2" s="866"/>
      <c r="AA2" s="866"/>
      <c r="AB2" s="868"/>
      <c r="AC2" s="868"/>
      <c r="AK2" s="129" t="e">
        <f>#REF!*#REF!</f>
        <v>#REF!</v>
      </c>
      <c r="AL2" s="129" t="e">
        <f>#REF!*#REF!</f>
        <v>#REF!</v>
      </c>
      <c r="AM2" s="129" t="e">
        <f>#REF!*#REF!</f>
        <v>#REF!</v>
      </c>
      <c r="AN2" s="866"/>
      <c r="AO2" s="866"/>
      <c r="AP2" s="866"/>
      <c r="AQ2" s="866"/>
      <c r="AR2" s="866"/>
      <c r="AS2" s="866"/>
      <c r="AT2" s="866"/>
      <c r="AU2" s="866"/>
      <c r="AV2" s="866"/>
      <c r="AW2" s="866"/>
      <c r="AX2" s="866"/>
      <c r="AY2" s="866"/>
      <c r="AZ2" s="866"/>
      <c r="BA2" s="869"/>
      <c r="BB2" s="869"/>
      <c r="BC2" s="869"/>
      <c r="BD2" s="869"/>
      <c r="BE2" s="869"/>
      <c r="BF2" s="869"/>
      <c r="BG2" s="869"/>
      <c r="BH2" s="869"/>
      <c r="BI2" s="869"/>
      <c r="BJ2" s="869"/>
      <c r="BK2" s="869"/>
      <c r="BL2" s="869"/>
      <c r="BM2" s="869"/>
      <c r="BN2" s="869"/>
      <c r="BO2" s="869"/>
      <c r="BP2" s="869"/>
      <c r="BQ2" s="869"/>
      <c r="BR2" s="869"/>
      <c r="BS2" s="869"/>
      <c r="BT2" s="869"/>
      <c r="BU2" s="869"/>
      <c r="BV2" s="869"/>
      <c r="BW2" s="869"/>
      <c r="BX2" s="869"/>
      <c r="BY2" s="869"/>
      <c r="BZ2" s="869"/>
    </row>
    <row r="3" spans="1:78" s="867" customFormat="1" ht="15" thickBot="1" x14ac:dyDescent="0.3">
      <c r="A3" s="870" t="s">
        <v>422</v>
      </c>
      <c r="B3" s="871"/>
      <c r="C3" s="872"/>
      <c r="D3" s="872"/>
      <c r="E3" s="872"/>
      <c r="F3" s="872"/>
      <c r="G3" s="872"/>
      <c r="H3" s="872"/>
      <c r="I3" s="872"/>
      <c r="J3" s="872"/>
      <c r="K3" s="872"/>
      <c r="X3" s="873"/>
      <c r="Y3" s="873"/>
      <c r="AB3" s="873"/>
      <c r="AC3" s="873"/>
      <c r="AN3" s="866"/>
      <c r="AO3" s="866"/>
      <c r="AP3" s="866"/>
      <c r="AQ3" s="866"/>
      <c r="AR3" s="866"/>
      <c r="AS3" s="866"/>
      <c r="AT3" s="866"/>
      <c r="AU3" s="866"/>
      <c r="AV3" s="866"/>
      <c r="AW3" s="866"/>
      <c r="AX3" s="866"/>
      <c r="AY3" s="866"/>
      <c r="AZ3" s="866"/>
      <c r="BA3" s="869"/>
      <c r="BB3" s="869"/>
      <c r="BC3" s="869"/>
      <c r="BD3" s="869"/>
      <c r="BE3" s="869"/>
      <c r="BF3" s="869"/>
      <c r="BG3" s="869"/>
      <c r="BH3" s="869"/>
      <c r="BI3" s="869"/>
      <c r="BJ3" s="869"/>
      <c r="BK3" s="869"/>
      <c r="BL3" s="869"/>
      <c r="BM3" s="869"/>
      <c r="BN3" s="869"/>
      <c r="BO3" s="869"/>
      <c r="BP3" s="869"/>
      <c r="BQ3" s="869"/>
      <c r="BR3" s="869"/>
      <c r="BS3" s="869"/>
      <c r="BT3" s="869"/>
      <c r="BU3" s="869"/>
      <c r="BV3" s="869"/>
      <c r="BW3" s="869"/>
      <c r="BX3" s="869"/>
      <c r="BY3" s="869"/>
      <c r="BZ3" s="869"/>
    </row>
    <row r="4" spans="1:78" s="904" customFormat="1" ht="16.5" customHeight="1" thickTop="1" thickBot="1" x14ac:dyDescent="0.35">
      <c r="A4" s="1547" t="s">
        <v>61</v>
      </c>
      <c r="B4" s="1547"/>
      <c r="C4" s="825" t="s">
        <v>59</v>
      </c>
      <c r="D4" s="308"/>
      <c r="E4" s="309"/>
      <c r="F4" s="309"/>
      <c r="G4" s="309"/>
      <c r="H4" s="309"/>
      <c r="I4" s="310"/>
      <c r="J4" s="310"/>
      <c r="K4" s="311" t="s">
        <v>268</v>
      </c>
      <c r="W4" s="912"/>
      <c r="X4" s="911"/>
      <c r="Y4" s="911"/>
      <c r="Z4" s="912"/>
      <c r="AA4" s="912"/>
      <c r="AB4" s="911"/>
      <c r="AC4" s="911"/>
      <c r="AN4" s="912"/>
      <c r="AO4" s="912"/>
      <c r="AP4" s="912"/>
      <c r="AQ4" s="912"/>
      <c r="AR4" s="912"/>
      <c r="AS4" s="912"/>
      <c r="AT4" s="912"/>
      <c r="AU4" s="912"/>
      <c r="AV4" s="912"/>
      <c r="AW4" s="912"/>
      <c r="AX4" s="912"/>
      <c r="AY4" s="912"/>
      <c r="AZ4" s="912"/>
      <c r="BA4" s="655"/>
      <c r="BB4" s="655"/>
      <c r="BC4" s="655"/>
      <c r="BD4" s="655"/>
      <c r="BE4" s="655"/>
      <c r="BF4" s="655"/>
      <c r="BG4" s="655"/>
      <c r="BH4" s="655"/>
      <c r="BI4" s="655"/>
      <c r="BJ4" s="655"/>
      <c r="BK4" s="655"/>
      <c r="BL4" s="655"/>
      <c r="BM4" s="655"/>
      <c r="BN4" s="655"/>
      <c r="BO4" s="655"/>
      <c r="BP4" s="655"/>
      <c r="BQ4" s="655"/>
      <c r="BR4" s="655"/>
      <c r="BS4" s="655"/>
      <c r="BT4" s="655"/>
      <c r="BU4" s="655"/>
      <c r="BV4" s="655"/>
      <c r="BW4" s="655"/>
      <c r="BX4" s="655"/>
      <c r="BY4" s="655"/>
      <c r="BZ4" s="655"/>
    </row>
    <row r="5" spans="1:78" s="904" customFormat="1" ht="16.5" customHeight="1" thickTop="1" x14ac:dyDescent="0.3">
      <c r="A5" s="901" t="s">
        <v>124</v>
      </c>
      <c r="B5" s="901"/>
      <c r="C5" s="312"/>
      <c r="D5" s="308"/>
      <c r="E5" s="309"/>
      <c r="F5" s="309"/>
      <c r="G5" s="309"/>
      <c r="H5" s="309"/>
      <c r="I5" s="310"/>
      <c r="J5" s="310"/>
      <c r="K5" s="310"/>
      <c r="W5" s="912"/>
      <c r="X5" s="911"/>
      <c r="Y5" s="911"/>
      <c r="Z5" s="912"/>
      <c r="AA5" s="912"/>
      <c r="AB5" s="911"/>
      <c r="AC5" s="911"/>
      <c r="AN5" s="912"/>
      <c r="AO5" s="912"/>
      <c r="AP5" s="912"/>
      <c r="AQ5" s="912"/>
      <c r="AR5" s="912"/>
      <c r="AS5" s="912"/>
      <c r="AT5" s="912"/>
      <c r="AU5" s="912"/>
      <c r="AV5" s="912"/>
      <c r="AW5" s="912"/>
      <c r="AX5" s="912"/>
      <c r="AY5" s="912"/>
      <c r="AZ5" s="912"/>
      <c r="BA5" s="655"/>
      <c r="BB5" s="655"/>
      <c r="BC5" s="655"/>
      <c r="BD5" s="655"/>
      <c r="BE5" s="655"/>
      <c r="BF5" s="655"/>
      <c r="BG5" s="655"/>
      <c r="BH5" s="655"/>
      <c r="BI5" s="655"/>
      <c r="BJ5" s="655"/>
      <c r="BK5" s="655"/>
      <c r="BL5" s="655"/>
      <c r="BM5" s="655"/>
      <c r="BN5" s="655"/>
      <c r="BO5" s="655"/>
      <c r="BP5" s="655"/>
      <c r="BQ5" s="655"/>
      <c r="BR5" s="655"/>
      <c r="BS5" s="655"/>
      <c r="BT5" s="655"/>
      <c r="BU5" s="655"/>
      <c r="BV5" s="655"/>
      <c r="BW5" s="655"/>
      <c r="BX5" s="655"/>
      <c r="BY5" s="655"/>
      <c r="BZ5" s="655"/>
    </row>
    <row r="6" spans="1:78" s="904" customFormat="1" ht="16.5" customHeight="1" x14ac:dyDescent="0.3">
      <c r="A6" s="901" t="s">
        <v>125</v>
      </c>
      <c r="B6" s="901"/>
      <c r="C6" s="312"/>
      <c r="D6" s="308"/>
      <c r="E6" s="309"/>
      <c r="F6" s="309"/>
      <c r="G6" s="309"/>
      <c r="H6" s="309"/>
      <c r="I6" s="310"/>
      <c r="J6" s="310"/>
      <c r="K6" s="310"/>
      <c r="W6" s="912"/>
      <c r="X6" s="911"/>
      <c r="Y6" s="911"/>
      <c r="Z6" s="912"/>
      <c r="AA6" s="912"/>
      <c r="AB6" s="911"/>
      <c r="AC6" s="911"/>
      <c r="AN6" s="912"/>
      <c r="AO6" s="912"/>
      <c r="AP6" s="912"/>
      <c r="AQ6" s="912"/>
      <c r="AR6" s="912"/>
      <c r="AS6" s="912"/>
      <c r="AT6" s="912"/>
      <c r="AU6" s="912"/>
      <c r="AV6" s="912"/>
      <c r="AW6" s="912"/>
      <c r="AX6" s="912"/>
      <c r="AY6" s="912"/>
      <c r="AZ6" s="912"/>
      <c r="BA6" s="655"/>
      <c r="BB6" s="655"/>
      <c r="BC6" s="655"/>
      <c r="BD6" s="655"/>
      <c r="BE6" s="655"/>
      <c r="BF6" s="655"/>
      <c r="BG6" s="655"/>
      <c r="BH6" s="655"/>
      <c r="BI6" s="655"/>
      <c r="BJ6" s="655"/>
      <c r="BK6" s="655"/>
      <c r="BL6" s="655"/>
      <c r="BM6" s="655"/>
      <c r="BN6" s="655"/>
      <c r="BO6" s="655"/>
      <c r="BP6" s="655"/>
      <c r="BQ6" s="655"/>
      <c r="BR6" s="655"/>
      <c r="BS6" s="655"/>
      <c r="BT6" s="655"/>
      <c r="BU6" s="655"/>
      <c r="BV6" s="655"/>
      <c r="BW6" s="655"/>
      <c r="BX6" s="655"/>
      <c r="BY6" s="655"/>
      <c r="BZ6" s="655"/>
    </row>
    <row r="7" spans="1:78" s="867" customFormat="1" ht="12" customHeight="1" thickBot="1" x14ac:dyDescent="0.35">
      <c r="A7" s="820"/>
      <c r="B7" s="628"/>
      <c r="C7" s="821"/>
      <c r="D7" s="244"/>
      <c r="E7" s="244"/>
      <c r="F7" s="244"/>
      <c r="G7" s="244"/>
      <c r="H7" s="244"/>
      <c r="I7" s="325"/>
      <c r="J7" s="325"/>
      <c r="K7" s="325"/>
      <c r="W7" s="866"/>
      <c r="X7" s="868"/>
      <c r="Y7" s="868"/>
      <c r="Z7" s="866"/>
      <c r="AA7" s="866"/>
      <c r="AB7" s="868"/>
      <c r="AC7" s="868"/>
      <c r="AN7" s="866"/>
      <c r="AO7" s="866"/>
      <c r="AP7" s="866"/>
      <c r="AQ7" s="866"/>
      <c r="AR7" s="866"/>
      <c r="AS7" s="866"/>
      <c r="AT7" s="866"/>
      <c r="AU7" s="866"/>
      <c r="AV7" s="866"/>
      <c r="AW7" s="866"/>
      <c r="AX7" s="866"/>
      <c r="AY7" s="866"/>
      <c r="AZ7" s="866"/>
      <c r="BA7" s="869"/>
      <c r="BB7" s="869"/>
      <c r="BC7" s="869"/>
      <c r="BD7" s="869"/>
      <c r="BE7" s="869"/>
      <c r="BF7" s="869"/>
      <c r="BG7" s="869"/>
      <c r="BH7" s="869"/>
      <c r="BI7" s="869"/>
      <c r="BJ7" s="869"/>
      <c r="BK7" s="869"/>
      <c r="BL7" s="869"/>
      <c r="BM7" s="869"/>
      <c r="BN7" s="869"/>
      <c r="BO7" s="869"/>
      <c r="BP7" s="869"/>
      <c r="BQ7" s="869"/>
      <c r="BR7" s="869"/>
      <c r="BS7" s="869"/>
      <c r="BT7" s="869"/>
      <c r="BU7" s="869"/>
      <c r="BV7" s="869"/>
      <c r="BW7" s="869"/>
      <c r="BX7" s="869"/>
      <c r="BY7" s="869"/>
      <c r="BZ7" s="869"/>
    </row>
    <row r="8" spans="1:78" s="867" customFormat="1" ht="16.5" customHeight="1" thickTop="1" thickBot="1" x14ac:dyDescent="0.3">
      <c r="A8" s="438" t="s">
        <v>368</v>
      </c>
      <c r="B8" s="438"/>
      <c r="C8" s="442">
        <v>5</v>
      </c>
      <c r="D8" s="438"/>
      <c r="E8" s="438"/>
      <c r="F8" s="438"/>
      <c r="G8" s="438"/>
      <c r="H8" s="439"/>
      <c r="I8" s="438"/>
      <c r="J8" s="438"/>
      <c r="K8" s="311" t="s">
        <v>270</v>
      </c>
      <c r="W8" s="866"/>
      <c r="X8" s="868"/>
      <c r="Y8" s="868"/>
      <c r="Z8" s="866"/>
      <c r="AA8" s="866"/>
      <c r="AB8" s="868"/>
      <c r="AC8" s="868"/>
      <c r="AN8" s="866"/>
      <c r="AO8" s="866"/>
      <c r="AP8" s="866"/>
      <c r="AQ8" s="866"/>
      <c r="AR8" s="866"/>
      <c r="AS8" s="866"/>
      <c r="AT8" s="866"/>
      <c r="AU8" s="866"/>
      <c r="AV8" s="866"/>
      <c r="AW8" s="866"/>
      <c r="AX8" s="866"/>
      <c r="AY8" s="866"/>
      <c r="AZ8" s="866"/>
      <c r="BA8" s="869"/>
      <c r="BB8" s="869"/>
      <c r="BC8" s="869"/>
      <c r="BD8" s="869"/>
      <c r="BE8" s="869"/>
      <c r="BF8" s="869"/>
      <c r="BG8" s="869"/>
      <c r="BH8" s="869"/>
      <c r="BI8" s="869"/>
      <c r="BJ8" s="869"/>
      <c r="BK8" s="869"/>
      <c r="BL8" s="869"/>
      <c r="BM8" s="869"/>
      <c r="BN8" s="869"/>
      <c r="BO8" s="869"/>
      <c r="BP8" s="869"/>
      <c r="BQ8" s="869"/>
      <c r="BR8" s="869"/>
      <c r="BS8" s="869"/>
      <c r="BT8" s="869"/>
      <c r="BU8" s="869"/>
      <c r="BV8" s="869"/>
      <c r="BW8" s="869"/>
      <c r="BX8" s="869"/>
      <c r="BY8" s="869"/>
      <c r="BZ8" s="869"/>
    </row>
    <row r="9" spans="1:78" s="867" customFormat="1" ht="16.5" customHeight="1" thickTop="1" x14ac:dyDescent="0.25">
      <c r="A9" s="438" t="s">
        <v>420</v>
      </c>
      <c r="B9" s="438"/>
      <c r="C9" s="438"/>
      <c r="D9" s="438"/>
      <c r="E9" s="438"/>
      <c r="F9" s="438"/>
      <c r="G9" s="438"/>
      <c r="H9" s="439"/>
      <c r="I9" s="438"/>
      <c r="J9" s="438"/>
      <c r="K9" s="311"/>
      <c r="W9" s="866"/>
      <c r="X9" s="868"/>
      <c r="Y9" s="868"/>
      <c r="Z9" s="866"/>
      <c r="AA9" s="866"/>
      <c r="AB9" s="868"/>
      <c r="AC9" s="868"/>
      <c r="AN9" s="866"/>
      <c r="AO9" s="866"/>
      <c r="AP9" s="866"/>
      <c r="AQ9" s="866"/>
      <c r="AR9" s="866"/>
      <c r="AS9" s="866"/>
      <c r="AT9" s="866"/>
      <c r="AU9" s="866"/>
      <c r="AV9" s="866"/>
      <c r="AW9" s="866"/>
      <c r="AX9" s="866"/>
      <c r="AY9" s="866"/>
      <c r="AZ9" s="866"/>
      <c r="BA9" s="869"/>
      <c r="BB9" s="869"/>
      <c r="BC9" s="869"/>
      <c r="BD9" s="869"/>
      <c r="BE9" s="869"/>
      <c r="BF9" s="869"/>
      <c r="BG9" s="869"/>
      <c r="BH9" s="869"/>
      <c r="BI9" s="869"/>
      <c r="BJ9" s="869"/>
      <c r="BK9" s="869"/>
      <c r="BL9" s="869"/>
      <c r="BM9" s="869"/>
      <c r="BN9" s="869"/>
      <c r="BO9" s="869"/>
      <c r="BP9" s="869"/>
      <c r="BQ9" s="869"/>
      <c r="BR9" s="869"/>
      <c r="BS9" s="869"/>
      <c r="BT9" s="869"/>
      <c r="BU9" s="869"/>
      <c r="BV9" s="869"/>
      <c r="BW9" s="869"/>
      <c r="BX9" s="869"/>
      <c r="BY9" s="869"/>
      <c r="BZ9" s="869"/>
    </row>
    <row r="10" spans="1:78" s="867" customFormat="1" ht="12" customHeight="1" thickBot="1" x14ac:dyDescent="0.3">
      <c r="A10" s="443"/>
      <c r="B10" s="443"/>
      <c r="C10" s="444"/>
      <c r="D10" s="443"/>
      <c r="E10" s="443"/>
      <c r="F10" s="443"/>
      <c r="G10" s="443"/>
      <c r="H10" s="445"/>
      <c r="I10" s="443"/>
      <c r="J10" s="443"/>
      <c r="K10" s="328"/>
      <c r="W10" s="866"/>
      <c r="X10" s="868"/>
      <c r="Y10" s="868"/>
      <c r="Z10" s="866"/>
      <c r="AA10" s="866"/>
      <c r="AB10" s="868"/>
      <c r="AC10" s="868"/>
      <c r="AN10" s="866"/>
      <c r="AO10" s="866"/>
      <c r="AP10" s="866"/>
      <c r="AQ10" s="866"/>
      <c r="AR10" s="866"/>
      <c r="AS10" s="866"/>
      <c r="AT10" s="866"/>
      <c r="AU10" s="866"/>
      <c r="AV10" s="866"/>
      <c r="AW10" s="866"/>
      <c r="AX10" s="866"/>
      <c r="AY10" s="866"/>
      <c r="AZ10" s="866"/>
      <c r="BA10" s="869"/>
      <c r="BB10" s="869"/>
      <c r="BC10" s="869"/>
      <c r="BD10" s="869"/>
      <c r="BE10" s="869"/>
      <c r="BF10" s="869"/>
      <c r="BG10" s="869"/>
      <c r="BH10" s="869"/>
      <c r="BI10" s="869"/>
      <c r="BJ10" s="869"/>
      <c r="BK10" s="869"/>
      <c r="BL10" s="869"/>
      <c r="BM10" s="869"/>
      <c r="BN10" s="869"/>
      <c r="BO10" s="869"/>
      <c r="BP10" s="869"/>
      <c r="BQ10" s="869"/>
      <c r="BR10" s="869"/>
      <c r="BS10" s="869"/>
      <c r="BT10" s="869"/>
      <c r="BU10" s="869"/>
      <c r="BV10" s="869"/>
      <c r="BW10" s="869"/>
      <c r="BX10" s="869"/>
      <c r="BY10" s="869"/>
      <c r="BZ10" s="869"/>
    </row>
    <row r="11" spans="1:78" s="867" customFormat="1" ht="16.5" customHeight="1" thickTop="1" thickBot="1" x14ac:dyDescent="0.3">
      <c r="A11" s="438" t="s">
        <v>369</v>
      </c>
      <c r="B11" s="438"/>
      <c r="C11" s="438"/>
      <c r="D11" s="438"/>
      <c r="E11" s="438"/>
      <c r="F11" s="438"/>
      <c r="G11" s="1455" t="s">
        <v>370</v>
      </c>
      <c r="H11" s="1456"/>
      <c r="I11" s="1457"/>
      <c r="J11" s="438"/>
      <c r="K11" s="311" t="s">
        <v>276</v>
      </c>
      <c r="W11" s="866"/>
      <c r="X11" s="868"/>
      <c r="Y11" s="868"/>
      <c r="Z11" s="866"/>
      <c r="AA11" s="866"/>
      <c r="AB11" s="868"/>
      <c r="AC11" s="868"/>
      <c r="AN11" s="866"/>
      <c r="AO11" s="866"/>
      <c r="AP11" s="866"/>
      <c r="AQ11" s="866"/>
      <c r="AR11" s="866"/>
      <c r="AS11" s="866"/>
      <c r="AT11" s="866"/>
      <c r="AU11" s="866"/>
      <c r="AV11" s="866"/>
      <c r="AW11" s="866"/>
      <c r="AX11" s="866"/>
      <c r="AY11" s="866"/>
      <c r="AZ11" s="866"/>
      <c r="BA11" s="869"/>
      <c r="BB11" s="869"/>
      <c r="BC11" s="869"/>
      <c r="BD11" s="869"/>
      <c r="BE11" s="869"/>
      <c r="BF11" s="869"/>
      <c r="BG11" s="869"/>
      <c r="BH11" s="869"/>
      <c r="BI11" s="869"/>
      <c r="BJ11" s="869"/>
      <c r="BK11" s="869"/>
      <c r="BL11" s="869"/>
      <c r="BM11" s="869"/>
      <c r="BN11" s="869"/>
      <c r="BO11" s="869"/>
      <c r="BP11" s="869"/>
      <c r="BQ11" s="869"/>
      <c r="BR11" s="869"/>
      <c r="BS11" s="869"/>
      <c r="BT11" s="869"/>
      <c r="BU11" s="869"/>
      <c r="BV11" s="869"/>
      <c r="BW11" s="869"/>
      <c r="BX11" s="869"/>
      <c r="BY11" s="869"/>
      <c r="BZ11" s="869"/>
    </row>
    <row r="12" spans="1:78" s="867" customFormat="1" ht="16.5" customHeight="1" thickTop="1" x14ac:dyDescent="0.25">
      <c r="A12" s="438" t="s">
        <v>421</v>
      </c>
      <c r="B12" s="438"/>
      <c r="C12" s="438"/>
      <c r="D12" s="438"/>
      <c r="E12" s="438"/>
      <c r="F12" s="438"/>
      <c r="G12" s="438"/>
      <c r="H12" s="438"/>
      <c r="I12" s="438"/>
      <c r="J12" s="438"/>
      <c r="K12" s="311"/>
      <c r="W12" s="866"/>
      <c r="X12" s="868"/>
      <c r="Y12" s="868"/>
      <c r="Z12" s="866"/>
      <c r="AA12" s="866"/>
      <c r="AB12" s="868"/>
      <c r="AC12" s="868"/>
      <c r="AN12" s="866"/>
      <c r="AO12" s="866"/>
      <c r="AP12" s="866"/>
      <c r="AQ12" s="866"/>
      <c r="AR12" s="866"/>
      <c r="AS12" s="866"/>
      <c r="AT12" s="866"/>
      <c r="AU12" s="866"/>
      <c r="AV12" s="866"/>
      <c r="AW12" s="866"/>
      <c r="AX12" s="866"/>
      <c r="AY12" s="866"/>
      <c r="AZ12" s="866"/>
      <c r="BA12" s="869"/>
      <c r="BB12" s="869"/>
      <c r="BC12" s="869"/>
      <c r="BD12" s="869"/>
      <c r="BE12" s="869"/>
      <c r="BF12" s="869"/>
      <c r="BG12" s="869"/>
      <c r="BH12" s="869"/>
      <c r="BI12" s="869"/>
      <c r="BJ12" s="869"/>
      <c r="BK12" s="869"/>
      <c r="BL12" s="869"/>
      <c r="BM12" s="869"/>
      <c r="BN12" s="869"/>
      <c r="BO12" s="869"/>
      <c r="BP12" s="869"/>
      <c r="BQ12" s="869"/>
      <c r="BR12" s="869"/>
      <c r="BS12" s="869"/>
      <c r="BT12" s="869"/>
      <c r="BU12" s="869"/>
      <c r="BV12" s="869"/>
      <c r="BW12" s="869"/>
      <c r="BX12" s="869"/>
      <c r="BY12" s="869"/>
      <c r="BZ12" s="869"/>
    </row>
    <row r="13" spans="1:78" s="867" customFormat="1" ht="20.25" customHeight="1" x14ac:dyDescent="0.25">
      <c r="A13" s="438" t="s">
        <v>414</v>
      </c>
      <c r="B13" s="438"/>
      <c r="C13" s="438"/>
      <c r="D13" s="438"/>
      <c r="E13" s="438"/>
      <c r="F13" s="438"/>
      <c r="G13" s="438"/>
      <c r="H13" s="438"/>
      <c r="I13" s="438"/>
      <c r="J13" s="438"/>
      <c r="K13" s="311"/>
      <c r="W13" s="866"/>
      <c r="X13" s="868"/>
      <c r="Y13" s="868"/>
      <c r="Z13" s="866"/>
      <c r="AA13" s="866"/>
      <c r="AB13" s="868"/>
      <c r="AC13" s="868"/>
      <c r="AN13" s="866"/>
      <c r="AO13" s="866"/>
      <c r="AP13" s="866"/>
      <c r="AQ13" s="866"/>
      <c r="AR13" s="866"/>
      <c r="AS13" s="866"/>
      <c r="AT13" s="866"/>
      <c r="AU13" s="866"/>
      <c r="AV13" s="866"/>
      <c r="AW13" s="866"/>
      <c r="AX13" s="866"/>
      <c r="AY13" s="866"/>
      <c r="AZ13" s="866"/>
      <c r="BA13" s="869"/>
      <c r="BB13" s="869"/>
      <c r="BC13" s="869"/>
      <c r="BD13" s="869"/>
      <c r="BE13" s="869"/>
      <c r="BF13" s="869"/>
      <c r="BG13" s="869"/>
      <c r="BH13" s="869"/>
      <c r="BI13" s="869"/>
      <c r="BJ13" s="869"/>
      <c r="BK13" s="869"/>
      <c r="BL13" s="869"/>
      <c r="BM13" s="869"/>
      <c r="BN13" s="869"/>
      <c r="BO13" s="869"/>
      <c r="BP13" s="869"/>
      <c r="BQ13" s="869"/>
      <c r="BR13" s="869"/>
      <c r="BS13" s="869"/>
      <c r="BT13" s="869"/>
      <c r="BU13" s="869"/>
      <c r="BV13" s="869"/>
      <c r="BW13" s="869"/>
      <c r="BX13" s="869"/>
      <c r="BY13" s="869"/>
      <c r="BZ13" s="869"/>
    </row>
    <row r="14" spans="1:78" s="867" customFormat="1" ht="16.5" customHeight="1" x14ac:dyDescent="0.25">
      <c r="A14" s="438" t="s">
        <v>317</v>
      </c>
      <c r="B14" s="438"/>
      <c r="C14" s="438"/>
      <c r="D14" s="438"/>
      <c r="E14" s="438"/>
      <c r="F14" s="438"/>
      <c r="G14" s="438"/>
      <c r="H14" s="438"/>
      <c r="I14" s="438"/>
      <c r="J14" s="438"/>
      <c r="K14" s="311"/>
      <c r="W14" s="866"/>
      <c r="X14" s="868"/>
      <c r="Y14" s="868"/>
      <c r="Z14" s="866"/>
      <c r="AA14" s="866"/>
      <c r="AB14" s="868"/>
      <c r="AC14" s="868"/>
      <c r="AN14" s="866"/>
      <c r="AO14" s="866"/>
      <c r="AP14" s="866"/>
      <c r="AQ14" s="866"/>
      <c r="AR14" s="866"/>
      <c r="AS14" s="866"/>
      <c r="AT14" s="866"/>
      <c r="AU14" s="866"/>
      <c r="AV14" s="866"/>
      <c r="AW14" s="866"/>
      <c r="AX14" s="866"/>
      <c r="AY14" s="866"/>
      <c r="AZ14" s="866"/>
      <c r="BA14" s="869"/>
      <c r="BB14" s="869"/>
      <c r="BC14" s="869"/>
      <c r="BD14" s="869"/>
      <c r="BE14" s="869"/>
      <c r="BF14" s="869"/>
      <c r="BG14" s="869"/>
      <c r="BH14" s="869"/>
      <c r="BI14" s="869"/>
      <c r="BJ14" s="869"/>
      <c r="BK14" s="869"/>
      <c r="BL14" s="869"/>
      <c r="BM14" s="869"/>
      <c r="BN14" s="869"/>
      <c r="BO14" s="869"/>
      <c r="BP14" s="869"/>
      <c r="BQ14" s="869"/>
      <c r="BR14" s="869"/>
      <c r="BS14" s="869"/>
      <c r="BT14" s="869"/>
      <c r="BU14" s="869"/>
      <c r="BV14" s="869"/>
      <c r="BW14" s="869"/>
      <c r="BX14" s="869"/>
      <c r="BY14" s="869"/>
      <c r="BZ14" s="869"/>
    </row>
    <row r="15" spans="1:78" s="867" customFormat="1" ht="16.5" customHeight="1" x14ac:dyDescent="0.25">
      <c r="A15" s="438" t="s">
        <v>316</v>
      </c>
      <c r="B15" s="438"/>
      <c r="C15" s="438"/>
      <c r="D15" s="438"/>
      <c r="E15" s="438"/>
      <c r="F15" s="438"/>
      <c r="G15" s="438"/>
      <c r="H15" s="438"/>
      <c r="I15" s="438"/>
      <c r="J15" s="438"/>
      <c r="K15" s="311"/>
      <c r="W15" s="866"/>
      <c r="X15" s="868"/>
      <c r="Y15" s="868"/>
      <c r="Z15" s="866"/>
      <c r="AA15" s="866"/>
      <c r="AB15" s="868"/>
      <c r="AC15" s="868"/>
      <c r="AN15" s="866"/>
      <c r="AO15" s="866"/>
      <c r="AP15" s="866"/>
      <c r="AQ15" s="866"/>
      <c r="AR15" s="866"/>
      <c r="AS15" s="866"/>
      <c r="AT15" s="866"/>
      <c r="AU15" s="866"/>
      <c r="AV15" s="866"/>
      <c r="AW15" s="866"/>
      <c r="AX15" s="866"/>
      <c r="AY15" s="866"/>
      <c r="AZ15" s="866"/>
      <c r="BA15" s="869"/>
      <c r="BB15" s="869"/>
      <c r="BC15" s="869"/>
      <c r="BD15" s="869"/>
      <c r="BE15" s="869"/>
      <c r="BF15" s="869"/>
      <c r="BG15" s="869"/>
      <c r="BH15" s="869"/>
      <c r="BI15" s="869"/>
      <c r="BJ15" s="869"/>
      <c r="BK15" s="869"/>
      <c r="BL15" s="869"/>
      <c r="BM15" s="869"/>
      <c r="BN15" s="869"/>
      <c r="BO15" s="869"/>
      <c r="BP15" s="869"/>
      <c r="BQ15" s="869"/>
      <c r="BR15" s="869"/>
      <c r="BS15" s="869"/>
      <c r="BT15" s="869"/>
      <c r="BU15" s="869"/>
      <c r="BV15" s="869"/>
      <c r="BW15" s="869"/>
      <c r="BX15" s="869"/>
      <c r="BY15" s="869"/>
      <c r="BZ15" s="869"/>
    </row>
    <row r="16" spans="1:78" s="867" customFormat="1" ht="12" customHeight="1" x14ac:dyDescent="0.25">
      <c r="A16" s="446"/>
      <c r="B16" s="447"/>
      <c r="C16" s="447"/>
      <c r="D16" s="447"/>
      <c r="E16" s="447"/>
      <c r="F16" s="447"/>
      <c r="G16" s="447"/>
      <c r="H16" s="447"/>
      <c r="I16" s="447"/>
      <c r="J16" s="447"/>
      <c r="K16" s="447"/>
      <c r="W16" s="866"/>
      <c r="X16" s="868"/>
      <c r="Y16" s="868"/>
      <c r="Z16" s="866"/>
      <c r="AA16" s="866"/>
      <c r="AB16" s="868"/>
      <c r="AC16" s="868"/>
      <c r="AN16" s="866"/>
      <c r="AO16" s="866"/>
      <c r="AP16" s="866"/>
      <c r="AQ16" s="866"/>
      <c r="AR16" s="866"/>
      <c r="AS16" s="866"/>
      <c r="AT16" s="866"/>
      <c r="AU16" s="866"/>
      <c r="AV16" s="866"/>
      <c r="AW16" s="866"/>
      <c r="AX16" s="866"/>
      <c r="AY16" s="866"/>
      <c r="AZ16" s="866"/>
      <c r="BA16" s="869"/>
      <c r="BB16" s="869"/>
      <c r="BC16" s="869"/>
      <c r="BD16" s="869"/>
      <c r="BE16" s="869"/>
      <c r="BF16" s="869"/>
      <c r="BG16" s="869"/>
      <c r="BH16" s="869"/>
      <c r="BI16" s="869"/>
      <c r="BJ16" s="869"/>
      <c r="BK16" s="869"/>
      <c r="BL16" s="869"/>
      <c r="BM16" s="869"/>
      <c r="BN16" s="869"/>
      <c r="BO16" s="869"/>
      <c r="BP16" s="869"/>
      <c r="BQ16" s="869"/>
      <c r="BR16" s="869"/>
      <c r="BS16" s="869"/>
      <c r="BT16" s="869"/>
      <c r="BU16" s="869"/>
      <c r="BV16" s="869"/>
      <c r="BW16" s="869"/>
      <c r="BX16" s="869"/>
      <c r="BY16" s="869"/>
      <c r="BZ16" s="869"/>
    </row>
    <row r="17" spans="1:78" s="867" customFormat="1" ht="12" customHeight="1" x14ac:dyDescent="0.25">
      <c r="A17" s="860"/>
      <c r="B17" s="860"/>
      <c r="C17" s="861"/>
      <c r="D17" s="861"/>
      <c r="E17" s="861"/>
      <c r="F17" s="861"/>
      <c r="G17" s="861"/>
      <c r="H17" s="861"/>
      <c r="I17" s="861"/>
      <c r="J17" s="861"/>
      <c r="K17" s="861"/>
      <c r="W17" s="866"/>
      <c r="X17" s="868"/>
      <c r="Y17" s="868"/>
      <c r="Z17" s="866"/>
      <c r="AA17" s="866"/>
      <c r="AB17" s="868"/>
      <c r="AC17" s="868"/>
      <c r="AN17" s="866"/>
      <c r="AO17" s="866"/>
      <c r="AP17" s="866"/>
      <c r="AQ17" s="866"/>
      <c r="AR17" s="866"/>
      <c r="AS17" s="866"/>
      <c r="AT17" s="866"/>
      <c r="AU17" s="866"/>
      <c r="AV17" s="866"/>
      <c r="AW17" s="866"/>
      <c r="AX17" s="866"/>
      <c r="AY17" s="866"/>
      <c r="AZ17" s="866"/>
      <c r="BA17" s="869"/>
      <c r="BB17" s="869"/>
      <c r="BC17" s="869"/>
      <c r="BD17" s="869"/>
      <c r="BE17" s="869"/>
      <c r="BF17" s="869"/>
      <c r="BG17" s="869"/>
      <c r="BH17" s="869"/>
      <c r="BI17" s="869"/>
      <c r="BJ17" s="869"/>
      <c r="BK17" s="869"/>
      <c r="BL17" s="869"/>
      <c r="BM17" s="869"/>
      <c r="BN17" s="869"/>
      <c r="BO17" s="869"/>
      <c r="BP17" s="869"/>
      <c r="BQ17" s="869"/>
      <c r="BR17" s="869"/>
      <c r="BS17" s="869"/>
      <c r="BT17" s="869"/>
      <c r="BU17" s="869"/>
      <c r="BV17" s="869"/>
      <c r="BW17" s="869"/>
      <c r="BX17" s="869"/>
      <c r="BY17" s="869"/>
      <c r="BZ17" s="869"/>
    </row>
    <row r="18" spans="1:78" s="867" customFormat="1" ht="12" customHeight="1" thickBot="1" x14ac:dyDescent="0.3">
      <c r="A18" s="857"/>
      <c r="B18" s="858"/>
      <c r="C18" s="859"/>
      <c r="D18" s="859"/>
      <c r="E18" s="859"/>
      <c r="F18" s="859"/>
      <c r="G18" s="859"/>
      <c r="H18" s="859"/>
      <c r="I18" s="859"/>
      <c r="J18" s="859"/>
      <c r="K18" s="859"/>
      <c r="W18" s="866"/>
      <c r="X18" s="868"/>
      <c r="Y18" s="868"/>
      <c r="Z18" s="866"/>
      <c r="AA18" s="866"/>
      <c r="AB18" s="868"/>
      <c r="AC18" s="868"/>
      <c r="AN18" s="866"/>
      <c r="AO18" s="866"/>
      <c r="AP18" s="866"/>
      <c r="AQ18" s="866"/>
      <c r="AR18" s="866"/>
      <c r="AS18" s="866"/>
      <c r="AT18" s="866"/>
      <c r="AU18" s="866"/>
      <c r="AV18" s="866"/>
      <c r="AW18" s="866"/>
      <c r="AX18" s="866"/>
      <c r="AY18" s="866"/>
      <c r="AZ18" s="866"/>
      <c r="BA18" s="869"/>
      <c r="BB18" s="869"/>
      <c r="BC18" s="869"/>
      <c r="BD18" s="869"/>
      <c r="BE18" s="869"/>
      <c r="BF18" s="869"/>
      <c r="BG18" s="869"/>
      <c r="BH18" s="869"/>
      <c r="BI18" s="869"/>
      <c r="BJ18" s="869"/>
      <c r="BK18" s="869"/>
      <c r="BL18" s="869"/>
      <c r="BM18" s="869"/>
      <c r="BN18" s="869"/>
      <c r="BO18" s="869"/>
      <c r="BP18" s="869"/>
      <c r="BQ18" s="869"/>
      <c r="BR18" s="869"/>
      <c r="BS18" s="869"/>
      <c r="BT18" s="869"/>
      <c r="BU18" s="869"/>
      <c r="BV18" s="869"/>
      <c r="BW18" s="869"/>
      <c r="BX18" s="869"/>
      <c r="BY18" s="869"/>
      <c r="BZ18" s="869"/>
    </row>
    <row r="19" spans="1:78" ht="13.8" hidden="1" x14ac:dyDescent="0.25">
      <c r="A19" s="838" t="s">
        <v>417</v>
      </c>
      <c r="B19" s="874"/>
      <c r="C19" s="72" t="s">
        <v>416</v>
      </c>
      <c r="D19" s="874"/>
      <c r="E19" s="874"/>
      <c r="F19" s="874"/>
      <c r="G19" s="874"/>
      <c r="H19" s="81" t="s">
        <v>113</v>
      </c>
      <c r="I19" s="874"/>
      <c r="J19" s="874"/>
      <c r="K19" s="874"/>
    </row>
    <row r="20" spans="1:78" ht="13.8" hidden="1" x14ac:dyDescent="0.25">
      <c r="A20" s="881" t="s">
        <v>59</v>
      </c>
      <c r="B20" s="874"/>
      <c r="C20" s="881" t="s">
        <v>59</v>
      </c>
      <c r="D20" s="874"/>
      <c r="E20" s="874"/>
      <c r="F20" s="874"/>
      <c r="G20" s="874"/>
      <c r="H20" s="880">
        <v>1</v>
      </c>
      <c r="I20" s="874"/>
      <c r="J20" s="874"/>
      <c r="K20" s="874"/>
    </row>
    <row r="21" spans="1:78" ht="13.8" hidden="1" x14ac:dyDescent="0.25">
      <c r="A21" s="881" t="s">
        <v>60</v>
      </c>
      <c r="B21" s="874"/>
      <c r="C21" s="881" t="s">
        <v>60</v>
      </c>
      <c r="D21" s="874"/>
      <c r="E21" s="874"/>
      <c r="F21" s="874"/>
      <c r="G21" s="874"/>
      <c r="H21" s="880">
        <v>2</v>
      </c>
      <c r="I21" s="874"/>
      <c r="J21" s="874"/>
      <c r="K21" s="874"/>
    </row>
    <row r="22" spans="1:78" ht="13.8" hidden="1" x14ac:dyDescent="0.25">
      <c r="A22" s="874"/>
      <c r="B22" s="874"/>
      <c r="C22" s="65" t="s">
        <v>370</v>
      </c>
      <c r="D22" s="874"/>
      <c r="E22" s="874"/>
      <c r="F22" s="874"/>
      <c r="G22" s="874"/>
      <c r="H22" s="880">
        <v>3</v>
      </c>
      <c r="I22" s="874"/>
      <c r="J22" s="874"/>
      <c r="K22" s="874"/>
    </row>
    <row r="23" spans="1:78" ht="13.8" hidden="1" x14ac:dyDescent="0.25">
      <c r="A23" s="874"/>
      <c r="B23" s="874"/>
      <c r="C23" s="874"/>
      <c r="D23" s="874"/>
      <c r="E23" s="874"/>
      <c r="F23" s="874"/>
      <c r="G23" s="874"/>
      <c r="H23" s="880">
        <v>4</v>
      </c>
      <c r="I23" s="874"/>
      <c r="J23" s="874"/>
      <c r="K23" s="874"/>
    </row>
    <row r="24" spans="1:78" ht="13.8" hidden="1" x14ac:dyDescent="0.25">
      <c r="A24" s="874"/>
      <c r="B24" s="874"/>
      <c r="C24" s="874"/>
      <c r="D24" s="874"/>
      <c r="E24" s="874"/>
      <c r="F24" s="874"/>
      <c r="G24" s="874"/>
      <c r="H24" s="880">
        <v>5</v>
      </c>
      <c r="I24" s="874"/>
      <c r="J24" s="874"/>
      <c r="K24" s="874"/>
    </row>
    <row r="25" spans="1:78" s="867" customFormat="1" ht="12" customHeight="1" x14ac:dyDescent="0.3">
      <c r="A25" s="882"/>
      <c r="B25" s="883"/>
      <c r="C25" s="884"/>
      <c r="D25" s="884"/>
      <c r="E25" s="884"/>
      <c r="F25" s="884"/>
      <c r="G25" s="884"/>
      <c r="H25" s="884"/>
      <c r="I25" s="884"/>
      <c r="J25" s="884"/>
      <c r="K25" s="884"/>
      <c r="W25" s="866"/>
      <c r="X25" s="868"/>
      <c r="Y25" s="868"/>
      <c r="Z25" s="866"/>
      <c r="AA25" s="866"/>
      <c r="AB25" s="868"/>
      <c r="AC25" s="868"/>
      <c r="AN25" s="866"/>
      <c r="AO25" s="866"/>
      <c r="AP25" s="866"/>
      <c r="AQ25" s="866"/>
      <c r="AR25" s="866"/>
      <c r="AS25" s="866"/>
      <c r="AT25" s="866"/>
      <c r="AU25" s="866"/>
      <c r="AV25" s="866"/>
      <c r="AW25" s="866"/>
      <c r="AX25" s="866"/>
      <c r="AY25" s="866"/>
      <c r="AZ25" s="866"/>
      <c r="BA25" s="869"/>
      <c r="BB25" s="869"/>
      <c r="BC25" s="869"/>
      <c r="BD25" s="869"/>
      <c r="BE25" s="869"/>
      <c r="BF25" s="869"/>
      <c r="BG25" s="869"/>
      <c r="BH25" s="869"/>
      <c r="BI25" s="869"/>
      <c r="BJ25" s="869"/>
      <c r="BK25" s="869"/>
      <c r="BL25" s="869"/>
      <c r="BM25" s="869"/>
      <c r="BN25" s="869"/>
      <c r="BO25" s="869"/>
      <c r="BP25" s="869"/>
      <c r="BQ25" s="869"/>
      <c r="BR25" s="869"/>
      <c r="BS25" s="869"/>
      <c r="BT25" s="869"/>
      <c r="BU25" s="869"/>
      <c r="BV25" s="869"/>
      <c r="BW25" s="869"/>
      <c r="BX25" s="869"/>
      <c r="BY25" s="869"/>
      <c r="BZ25" s="869"/>
    </row>
  </sheetData>
  <sheetProtection password="EC4C" sheet="1" objects="1" scenarios="1"/>
  <mergeCells count="2">
    <mergeCell ref="A4:B4"/>
    <mergeCell ref="G11:I11"/>
  </mergeCells>
  <dataValidations count="3">
    <dataValidation type="list" allowBlank="1" showInputMessage="1" showErrorMessage="1" prompt="Any budget period that is less than one year, round up to the following year. For example if your project will run for 1.5 years, choose 2.  _x000a__x000a_" sqref="C8">
      <formula1>$H$20:$H$24</formula1>
    </dataValidation>
    <dataValidation type="list" allowBlank="1" showInputMessage="1" showErrorMessage="1" sqref="G11:I11">
      <formula1>$C$20:$C$22</formula1>
    </dataValidation>
    <dataValidation type="list" allowBlank="1" showInputMessage="1" showErrorMessage="1" prompt="This could be when ISMMS is a subaward on another institution’s NIH grant. Another example is when ISMMS receives funds directly from the NIH. " sqref="C4">
      <formula1>$A$20:$A$21</formula1>
    </dataValidation>
  </dataValidations>
  <pageMargins left="0.7" right="0.7" top="0.75" bottom="0.75" header="0.3" footer="0.3"/>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05"/>
  <sheetViews>
    <sheetView tabSelected="1" topLeftCell="J76" zoomScale="110" zoomScaleNormal="110" workbookViewId="0">
      <selection activeCell="Q105" sqref="Q105"/>
    </sheetView>
  </sheetViews>
  <sheetFormatPr defaultColWidth="8.88671875" defaultRowHeight="13.8" x14ac:dyDescent="0.25"/>
  <cols>
    <col min="1" max="1" width="26.33203125" style="3" customWidth="1"/>
    <col min="2" max="2" width="13.77734375" style="3" customWidth="1"/>
    <col min="3" max="3" width="17.109375" style="3" customWidth="1"/>
    <col min="4" max="4" width="14.6640625" style="1" hidden="1" customWidth="1"/>
    <col min="5" max="5" width="10.44140625" style="1" customWidth="1"/>
    <col min="6" max="6" width="10.44140625" style="867" hidden="1" customWidth="1"/>
    <col min="7" max="7" width="12" style="1" hidden="1" customWidth="1"/>
    <col min="8" max="8" width="10.44140625" style="1" hidden="1" customWidth="1"/>
    <col min="9" max="9" width="10.44140625" style="1" customWidth="1"/>
    <col min="10" max="11" width="10.44140625" style="867" customWidth="1"/>
    <col min="12" max="12" width="16.33203125" style="1" customWidth="1"/>
    <col min="13" max="13" width="17.44140625" style="1" customWidth="1"/>
    <col min="14" max="14" width="18.6640625" style="1" customWidth="1"/>
    <col min="15" max="15" width="17.33203125" style="1" customWidth="1"/>
    <col min="16" max="16" width="7.88671875" style="126" customWidth="1"/>
    <col min="17" max="17" width="11.21875" style="1586" customWidth="1"/>
    <col min="18" max="18" width="11.6640625" style="1273" hidden="1" customWidth="1"/>
    <col min="19" max="19" width="1.44140625" style="1" customWidth="1"/>
    <col min="20" max="20" width="7.6640625" style="1" customWidth="1"/>
    <col min="21" max="21" width="7.44140625" style="1" hidden="1" customWidth="1"/>
    <col min="22" max="22" width="9.44140625" style="1" hidden="1" customWidth="1"/>
    <col min="23" max="24" width="9.44140625" style="867" customWidth="1"/>
    <col min="25" max="25" width="8" style="1" hidden="1" customWidth="1"/>
    <col min="26" max="26" width="9.109375" style="1" hidden="1" customWidth="1"/>
    <col min="27" max="27" width="7.44140625" style="1" customWidth="1"/>
    <col min="28" max="28" width="2.88671875" style="1" customWidth="1"/>
    <col min="29" max="29" width="14.109375" style="1" hidden="1" customWidth="1"/>
    <col min="30" max="30" width="11.88671875" style="95" hidden="1" customWidth="1"/>
    <col min="31" max="31" width="10.88671875" style="95" hidden="1" customWidth="1"/>
    <col min="32" max="32" width="1.6640625" style="1" hidden="1" customWidth="1"/>
    <col min="33" max="33" width="13.109375" style="1" hidden="1" customWidth="1"/>
    <col min="34" max="34" width="12.44140625" style="95" hidden="1" customWidth="1"/>
    <col min="35" max="35" width="12.33203125" style="95" hidden="1" customWidth="1"/>
    <col min="36" max="36" width="1" style="1" customWidth="1"/>
    <col min="37" max="37" width="10.109375" style="1" hidden="1" customWidth="1"/>
    <col min="38" max="38" width="8.88671875" style="1" hidden="1" customWidth="1"/>
    <col min="39" max="39" width="1.44140625" style="1" hidden="1" customWidth="1"/>
    <col min="40" max="40" width="10" style="1" hidden="1" customWidth="1"/>
    <col min="41" max="41" width="9.88671875" style="1" hidden="1" customWidth="1"/>
    <col min="42" max="42" width="1" style="1" hidden="1" customWidth="1"/>
    <col min="43" max="43" width="11" style="1" hidden="1" customWidth="1"/>
    <col min="44" max="44" width="10.88671875" style="1" hidden="1" customWidth="1"/>
    <col min="45" max="45" width="11.88671875" style="1" hidden="1" customWidth="1"/>
    <col min="46" max="46" width="12.44140625" style="230" customWidth="1"/>
    <col min="47" max="47" width="8.88671875" style="230" customWidth="1"/>
    <col min="48" max="58" width="8.88671875" style="230"/>
    <col min="59" max="84" width="8.88671875" style="654"/>
    <col min="85" max="16384" width="8.88671875" style="1"/>
  </cols>
  <sheetData>
    <row r="1" spans="1:84" x14ac:dyDescent="0.25">
      <c r="A1" s="822" t="s">
        <v>411</v>
      </c>
      <c r="B1" s="624"/>
      <c r="C1" s="864"/>
      <c r="D1" s="625"/>
      <c r="E1" s="625"/>
      <c r="F1" s="865"/>
      <c r="G1" s="625"/>
      <c r="H1" s="625"/>
      <c r="I1" s="625"/>
      <c r="J1" s="865"/>
      <c r="K1" s="865"/>
      <c r="L1" s="625"/>
      <c r="M1" s="625"/>
      <c r="N1" s="625"/>
      <c r="O1" s="625"/>
      <c r="P1" s="708"/>
      <c r="Q1" s="1585"/>
      <c r="R1" s="1272"/>
      <c r="S1" s="230"/>
      <c r="T1" s="230"/>
      <c r="U1" s="230"/>
      <c r="V1" s="230"/>
      <c r="W1" s="866"/>
      <c r="X1" s="866"/>
      <c r="Y1" s="230"/>
      <c r="Z1" s="230"/>
      <c r="AA1" s="230"/>
      <c r="AC1" s="230"/>
      <c r="AD1" s="265"/>
      <c r="AE1" s="265"/>
      <c r="AF1" s="230"/>
      <c r="AG1" s="230"/>
      <c r="AH1" s="265"/>
      <c r="AI1" s="265"/>
      <c r="AQ1" s="129" t="e">
        <f>#REF!*#REF!</f>
        <v>#REF!</v>
      </c>
      <c r="AR1" s="129" t="e">
        <f>#REF!*#REF!</f>
        <v>#REF!</v>
      </c>
      <c r="AS1" s="129" t="e">
        <f>#REF!*#REF!</f>
        <v>#REF!</v>
      </c>
    </row>
    <row r="2" spans="1:84" ht="14.4" x14ac:dyDescent="0.25">
      <c r="A2" s="835" t="s">
        <v>412</v>
      </c>
      <c r="B2" s="823"/>
      <c r="C2" s="871"/>
      <c r="D2" s="824"/>
      <c r="E2" s="824"/>
      <c r="F2" s="872"/>
      <c r="G2" s="824"/>
      <c r="H2" s="824"/>
      <c r="I2" s="824"/>
      <c r="J2" s="872"/>
      <c r="K2" s="872"/>
      <c r="L2" s="824"/>
      <c r="M2" s="824"/>
      <c r="N2" s="824"/>
      <c r="O2" s="824"/>
    </row>
    <row r="3" spans="1:84" ht="14.4" x14ac:dyDescent="0.25">
      <c r="A3" s="885" t="s">
        <v>547</v>
      </c>
      <c r="B3" s="823"/>
      <c r="C3" s="871"/>
      <c r="D3" s="824"/>
      <c r="E3" s="824"/>
      <c r="F3" s="872"/>
      <c r="G3" s="824"/>
      <c r="H3" s="824"/>
      <c r="I3" s="824"/>
      <c r="J3" s="872"/>
      <c r="K3" s="872"/>
      <c r="L3" s="824"/>
      <c r="M3" s="824"/>
      <c r="N3" s="824"/>
      <c r="O3" s="824"/>
    </row>
    <row r="4" spans="1:84" ht="14.4" x14ac:dyDescent="0.25">
      <c r="A4" s="885" t="s">
        <v>630</v>
      </c>
      <c r="B4" s="823"/>
      <c r="C4" s="871"/>
      <c r="D4" s="824"/>
      <c r="E4" s="824"/>
      <c r="F4" s="872"/>
      <c r="G4" s="824"/>
      <c r="H4" s="824"/>
      <c r="I4" s="824"/>
      <c r="J4" s="872"/>
      <c r="K4" s="872"/>
      <c r="L4" s="824"/>
      <c r="M4" s="824"/>
      <c r="N4" s="824"/>
      <c r="O4" s="824"/>
    </row>
    <row r="5" spans="1:84" ht="14.4" x14ac:dyDescent="0.25">
      <c r="A5" s="870" t="s">
        <v>553</v>
      </c>
      <c r="B5" s="823"/>
      <c r="C5" s="871"/>
      <c r="D5" s="824"/>
      <c r="E5" s="824"/>
      <c r="F5" s="872"/>
      <c r="G5" s="824"/>
      <c r="H5" s="824"/>
      <c r="I5" s="824"/>
      <c r="J5" s="872"/>
      <c r="K5" s="872"/>
      <c r="L5" s="824"/>
      <c r="M5" s="824"/>
      <c r="N5" s="824"/>
      <c r="O5" s="824"/>
    </row>
    <row r="6" spans="1:84" ht="16.5" customHeight="1" x14ac:dyDescent="0.25">
      <c r="A6" s="307"/>
      <c r="B6" s="283"/>
      <c r="C6" s="283"/>
      <c r="D6" s="283"/>
      <c r="E6" s="283" t="s">
        <v>57</v>
      </c>
      <c r="F6" s="283"/>
      <c r="G6" s="283"/>
      <c r="H6" s="283"/>
      <c r="I6" s="283"/>
      <c r="J6" s="283"/>
      <c r="K6" s="283"/>
      <c r="L6" s="283"/>
      <c r="M6" s="283"/>
      <c r="N6" s="283"/>
      <c r="O6" s="284"/>
      <c r="P6" s="708"/>
      <c r="Q6" s="1585"/>
      <c r="R6" s="1272"/>
      <c r="S6" s="230"/>
      <c r="T6" s="230"/>
      <c r="U6" s="230"/>
      <c r="V6" s="230"/>
      <c r="W6" s="866"/>
      <c r="X6" s="866"/>
      <c r="Y6" s="230"/>
      <c r="Z6" s="230"/>
      <c r="AA6" s="230"/>
      <c r="AB6" s="230"/>
      <c r="AC6" s="230"/>
      <c r="AD6" s="265"/>
      <c r="AE6" s="265"/>
      <c r="AF6" s="230"/>
      <c r="AG6" s="230"/>
      <c r="AH6" s="265"/>
      <c r="AI6" s="265"/>
    </row>
    <row r="7" spans="1:84" ht="6.75" customHeight="1" x14ac:dyDescent="0.25">
      <c r="A7" s="20"/>
      <c r="B7" s="60"/>
      <c r="C7" s="60"/>
      <c r="D7" s="59"/>
      <c r="E7" s="59"/>
      <c r="F7" s="59"/>
      <c r="G7" s="59"/>
      <c r="H7" s="59"/>
      <c r="I7" s="59"/>
      <c r="J7" s="59"/>
      <c r="K7" s="59"/>
      <c r="L7" s="59"/>
      <c r="M7" s="244"/>
      <c r="N7" s="244"/>
      <c r="O7" s="245"/>
      <c r="P7" s="708"/>
      <c r="Q7" s="1585"/>
      <c r="R7" s="1272"/>
      <c r="S7" s="230"/>
      <c r="T7" s="230"/>
      <c r="U7" s="230"/>
      <c r="V7" s="230"/>
      <c r="W7" s="866"/>
      <c r="X7" s="866"/>
      <c r="Y7" s="230"/>
      <c r="Z7" s="230"/>
      <c r="AA7" s="230"/>
      <c r="AB7" s="230"/>
      <c r="AC7" s="230"/>
      <c r="AD7" s="265"/>
      <c r="AE7" s="265"/>
      <c r="AF7" s="230"/>
      <c r="AG7" s="230"/>
      <c r="AH7" s="265"/>
      <c r="AI7" s="265"/>
    </row>
    <row r="8" spans="1:84" ht="16.5" customHeight="1" x14ac:dyDescent="0.25">
      <c r="A8" s="1194" t="s">
        <v>569</v>
      </c>
      <c r="B8" s="1469" t="s">
        <v>297</v>
      </c>
      <c r="C8" s="1469"/>
      <c r="D8" s="1469"/>
      <c r="E8" s="1469"/>
      <c r="F8" s="1469"/>
      <c r="G8" s="1469"/>
      <c r="H8" s="246"/>
      <c r="I8" s="246"/>
      <c r="J8" s="246"/>
      <c r="K8" s="246"/>
      <c r="L8" s="1267" t="s">
        <v>573</v>
      </c>
      <c r="M8" s="1046" t="s">
        <v>300</v>
      </c>
      <c r="N8" s="246"/>
      <c r="O8" s="1054" t="s">
        <v>634</v>
      </c>
      <c r="P8" s="708"/>
      <c r="Q8" s="1585"/>
      <c r="R8" s="1272"/>
      <c r="S8" s="230"/>
      <c r="T8" s="230"/>
      <c r="U8" s="230"/>
      <c r="V8" s="230"/>
      <c r="W8" s="866"/>
      <c r="X8" s="866"/>
      <c r="Y8" s="230"/>
      <c r="Z8" s="230"/>
      <c r="AA8" s="230"/>
      <c r="AB8" s="230"/>
      <c r="AC8" s="230"/>
      <c r="AD8" s="265"/>
      <c r="AE8" s="265"/>
      <c r="AF8" s="230"/>
      <c r="AG8" s="230"/>
      <c r="AH8" s="265"/>
      <c r="AI8" s="265"/>
    </row>
    <row r="9" spans="1:84" ht="16.5" customHeight="1" x14ac:dyDescent="0.25">
      <c r="A9" s="1194" t="s">
        <v>570</v>
      </c>
      <c r="B9" s="1047" t="s">
        <v>298</v>
      </c>
      <c r="C9" s="1047"/>
      <c r="D9" s="1047"/>
      <c r="E9" s="1047"/>
      <c r="F9" s="1047"/>
      <c r="G9" s="1361"/>
      <c r="H9" s="246"/>
      <c r="I9" s="246"/>
      <c r="J9" s="246"/>
      <c r="K9" s="246"/>
      <c r="L9" s="1267" t="s">
        <v>574</v>
      </c>
      <c r="M9" s="1047" t="s">
        <v>301</v>
      </c>
      <c r="N9" s="246"/>
      <c r="O9" s="285"/>
      <c r="P9" s="708"/>
      <c r="Q9" s="1585"/>
      <c r="R9" s="1272"/>
      <c r="S9" s="230"/>
      <c r="T9" s="230"/>
      <c r="U9" s="230"/>
      <c r="V9" s="230"/>
      <c r="W9" s="866"/>
      <c r="X9" s="866"/>
      <c r="Y9" s="230"/>
      <c r="Z9" s="230"/>
      <c r="AA9" s="230"/>
      <c r="AB9" s="230"/>
      <c r="AC9" s="230"/>
      <c r="AD9" s="265"/>
      <c r="AE9" s="265"/>
      <c r="AF9" s="230"/>
      <c r="AG9" s="230"/>
      <c r="AH9" s="265"/>
      <c r="AI9" s="265"/>
    </row>
    <row r="10" spans="1:84" s="2" customFormat="1" ht="16.5" customHeight="1" x14ac:dyDescent="0.25">
      <c r="A10" s="1194" t="s">
        <v>571</v>
      </c>
      <c r="B10" s="1047" t="s">
        <v>299</v>
      </c>
      <c r="C10" s="1047"/>
      <c r="D10" s="1047"/>
      <c r="E10" s="1047"/>
      <c r="F10" s="1047"/>
      <c r="G10" s="1047"/>
      <c r="H10" s="1047"/>
      <c r="I10" s="1047"/>
      <c r="J10" s="1279"/>
      <c r="K10" s="1326"/>
      <c r="L10" s="1267" t="s">
        <v>575</v>
      </c>
      <c r="M10" s="1047" t="s">
        <v>302</v>
      </c>
      <c r="N10" s="275"/>
      <c r="O10" s="286"/>
      <c r="P10" s="739"/>
      <c r="Q10" s="1587"/>
      <c r="R10" s="1274"/>
      <c r="S10" s="231"/>
      <c r="T10" s="231"/>
      <c r="U10" s="231"/>
      <c r="V10" s="231"/>
      <c r="W10" s="1286"/>
      <c r="X10" s="1286"/>
      <c r="Y10" s="231"/>
      <c r="Z10" s="231"/>
      <c r="AA10" s="231"/>
      <c r="AB10" s="231"/>
      <c r="AC10" s="231"/>
      <c r="AD10" s="266"/>
      <c r="AE10" s="266"/>
      <c r="AF10" s="231"/>
      <c r="AG10" s="231"/>
      <c r="AH10" s="266"/>
      <c r="AI10" s="266"/>
      <c r="AT10" s="231"/>
      <c r="AU10" s="231"/>
      <c r="AV10" s="231"/>
      <c r="AW10" s="231"/>
      <c r="AX10" s="231"/>
      <c r="AY10" s="231"/>
      <c r="AZ10" s="231"/>
      <c r="BA10" s="231"/>
      <c r="BB10" s="231"/>
      <c r="BC10" s="231"/>
      <c r="BD10" s="231"/>
      <c r="BE10" s="231"/>
      <c r="BF10" s="231"/>
      <c r="BG10" s="655"/>
      <c r="BH10" s="655"/>
      <c r="BI10" s="655"/>
      <c r="BJ10" s="655"/>
      <c r="BK10" s="655"/>
      <c r="BL10" s="655"/>
      <c r="BM10" s="655"/>
      <c r="BN10" s="655"/>
      <c r="BO10" s="655"/>
      <c r="BP10" s="655"/>
      <c r="BQ10" s="655"/>
      <c r="BR10" s="655"/>
      <c r="BS10" s="655"/>
      <c r="BT10" s="655"/>
      <c r="BU10" s="655"/>
      <c r="BV10" s="655"/>
      <c r="BW10" s="655"/>
      <c r="BX10" s="655"/>
      <c r="BY10" s="655"/>
      <c r="BZ10" s="655"/>
      <c r="CA10" s="655"/>
      <c r="CB10" s="655"/>
      <c r="CC10" s="655"/>
      <c r="CD10" s="655"/>
      <c r="CE10" s="655"/>
      <c r="CF10" s="655"/>
    </row>
    <row r="11" spans="1:84" s="2" customFormat="1" ht="22.2" customHeight="1" x14ac:dyDescent="0.25">
      <c r="A11" s="1194" t="s">
        <v>572</v>
      </c>
      <c r="B11" s="1400" t="s">
        <v>520</v>
      </c>
      <c r="C11" s="1400"/>
      <c r="D11" s="1400"/>
      <c r="E11" s="1400"/>
      <c r="F11" s="1400"/>
      <c r="G11" s="1400"/>
      <c r="H11" s="275"/>
      <c r="I11" s="275"/>
      <c r="J11" s="275"/>
      <c r="K11" s="275"/>
      <c r="N11" s="275"/>
      <c r="O11" s="286"/>
      <c r="P11" s="739"/>
      <c r="Q11" s="1587"/>
      <c r="R11" s="1274"/>
      <c r="S11" s="231"/>
      <c r="T11" s="231"/>
      <c r="U11" s="231"/>
      <c r="V11" s="231"/>
      <c r="Y11" s="231"/>
      <c r="Z11" s="231"/>
      <c r="AA11" s="231"/>
      <c r="AB11" s="231"/>
      <c r="AC11" s="231"/>
      <c r="AD11" s="266"/>
      <c r="AE11" s="266"/>
      <c r="AF11" s="231"/>
      <c r="AG11" s="231"/>
      <c r="AH11" s="266"/>
      <c r="AI11" s="266"/>
      <c r="AT11" s="231"/>
      <c r="AU11" s="231"/>
      <c r="AV11" s="231"/>
      <c r="AW11" s="231"/>
      <c r="AX11" s="231"/>
      <c r="AY11" s="231"/>
      <c r="AZ11" s="231"/>
      <c r="BA11" s="231"/>
      <c r="BB11" s="231"/>
      <c r="BC11" s="231"/>
      <c r="BD11" s="231"/>
      <c r="BE11" s="231"/>
      <c r="BF11" s="231"/>
      <c r="BG11" s="655"/>
      <c r="BH11" s="655"/>
      <c r="BI11" s="655"/>
      <c r="BJ11" s="655"/>
      <c r="BK11" s="655"/>
      <c r="BL11" s="655"/>
      <c r="BM11" s="655"/>
      <c r="BN11" s="655"/>
      <c r="BO11" s="655"/>
      <c r="BP11" s="655"/>
      <c r="BQ11" s="655"/>
      <c r="BR11" s="655"/>
      <c r="BS11" s="655"/>
      <c r="BT11" s="655"/>
      <c r="BU11" s="655"/>
      <c r="BV11" s="655"/>
      <c r="BW11" s="655"/>
      <c r="BX11" s="655"/>
      <c r="BY11" s="655"/>
      <c r="BZ11" s="655"/>
      <c r="CA11" s="655"/>
      <c r="CB11" s="655"/>
      <c r="CC11" s="655"/>
      <c r="CD11" s="655"/>
      <c r="CE11" s="655"/>
      <c r="CF11" s="655"/>
    </row>
    <row r="12" spans="1:84" s="2" customFormat="1" ht="16.2" customHeight="1" x14ac:dyDescent="0.3">
      <c r="A12" s="1194" t="s">
        <v>105</v>
      </c>
      <c r="B12" s="275" t="s">
        <v>0</v>
      </c>
      <c r="C12" s="275"/>
      <c r="D12" s="282"/>
      <c r="E12" s="275"/>
      <c r="F12" s="275"/>
      <c r="G12" s="275"/>
      <c r="H12" s="275"/>
      <c r="I12" s="275"/>
      <c r="J12" s="275"/>
      <c r="K12" s="275"/>
      <c r="L12" s="275"/>
      <c r="M12" s="1470" t="s">
        <v>44</v>
      </c>
      <c r="N12" s="1471"/>
      <c r="O12" s="1471"/>
      <c r="P12" s="1588"/>
      <c r="Q12" s="1589" t="s">
        <v>195</v>
      </c>
      <c r="R12" s="1275"/>
      <c r="S12" s="1357"/>
      <c r="T12" s="1328"/>
      <c r="U12" s="1458" t="s">
        <v>151</v>
      </c>
      <c r="V12" s="1458" t="s">
        <v>152</v>
      </c>
      <c r="W12" s="1355"/>
      <c r="X12" s="1355"/>
      <c r="Y12" s="1458"/>
      <c r="Z12" s="1458"/>
      <c r="AA12" s="1356"/>
      <c r="AB12" s="239"/>
      <c r="AC12" s="1479"/>
      <c r="AD12" s="1480"/>
      <c r="AE12" s="1480"/>
      <c r="AF12" s="1480"/>
      <c r="AG12" s="1480"/>
      <c r="AH12" s="1480"/>
      <c r="AI12" s="1481"/>
      <c r="AK12" s="138" t="s">
        <v>157</v>
      </c>
      <c r="AL12" s="138" t="s">
        <v>158</v>
      </c>
      <c r="AM12" s="9"/>
      <c r="AN12" s="138" t="s">
        <v>157</v>
      </c>
      <c r="AO12" s="138" t="s">
        <v>158</v>
      </c>
      <c r="AP12" s="1"/>
      <c r="AQ12" s="138" t="s">
        <v>157</v>
      </c>
      <c r="AR12" s="138" t="s">
        <v>158</v>
      </c>
      <c r="AS12" s="2" t="s">
        <v>4</v>
      </c>
      <c r="AT12" s="231"/>
      <c r="AU12" s="231"/>
      <c r="AV12" s="231"/>
      <c r="AW12" s="231"/>
      <c r="AX12" s="231"/>
      <c r="AY12" s="231"/>
      <c r="AZ12" s="231"/>
      <c r="BA12" s="231"/>
      <c r="BB12" s="231"/>
      <c r="BC12" s="231"/>
      <c r="BD12" s="231"/>
      <c r="BE12" s="231"/>
      <c r="BF12" s="231"/>
      <c r="BG12" s="655"/>
      <c r="BH12" s="655"/>
      <c r="BI12" s="655"/>
      <c r="BJ12" s="655"/>
      <c r="BK12" s="655"/>
      <c r="BL12" s="655"/>
      <c r="BM12" s="655"/>
      <c r="BN12" s="655"/>
      <c r="BO12" s="655"/>
      <c r="BP12" s="655"/>
      <c r="BQ12" s="655"/>
      <c r="BR12" s="655"/>
      <c r="BS12" s="655"/>
      <c r="BT12" s="655"/>
      <c r="BU12" s="655"/>
      <c r="BV12" s="655"/>
      <c r="BW12" s="655"/>
      <c r="BX12" s="655"/>
      <c r="BY12" s="655"/>
      <c r="BZ12" s="655"/>
      <c r="CA12" s="655"/>
      <c r="CB12" s="655"/>
      <c r="CC12" s="655"/>
      <c r="CD12" s="655"/>
      <c r="CE12" s="655"/>
      <c r="CF12" s="655"/>
    </row>
    <row r="13" spans="1:84" ht="16.5" customHeight="1" x14ac:dyDescent="0.25">
      <c r="A13" s="230"/>
      <c r="B13" s="891" t="str">
        <f>IF(SetUp!G11="Yes","All future budget years are the same as the Y1 budget.",IF(SetUp!G11="Yes, except for equipment in Year 1.","Future budget years are the same as the Y1 budget except for equipment which is only in Y1."," "))</f>
        <v>All future budget years are the same as the Y1 budget.</v>
      </c>
      <c r="C13" s="891"/>
      <c r="D13" s="262"/>
      <c r="E13" s="262"/>
      <c r="F13" s="262"/>
      <c r="G13" s="262"/>
      <c r="H13" s="262"/>
      <c r="I13" s="262"/>
      <c r="J13" s="262"/>
      <c r="K13" s="262"/>
      <c r="L13" s="262"/>
      <c r="M13" s="287" t="s">
        <v>22</v>
      </c>
      <c r="N13" s="288"/>
      <c r="O13" s="1318">
        <v>0.30499999999999999</v>
      </c>
      <c r="P13" s="1590" t="s">
        <v>590</v>
      </c>
      <c r="Q13" s="1591"/>
      <c r="R13" s="1276"/>
      <c r="S13" s="328"/>
      <c r="T13" s="1358"/>
      <c r="U13" s="1459"/>
      <c r="V13" s="1459"/>
      <c r="W13" s="1325"/>
      <c r="X13" s="1325"/>
      <c r="Y13" s="1459"/>
      <c r="Z13" s="1459"/>
      <c r="AA13" s="1219"/>
      <c r="AB13" s="239"/>
      <c r="AC13" s="271"/>
      <c r="AD13" s="272"/>
      <c r="AE13" s="272"/>
      <c r="AF13" s="262"/>
      <c r="AG13" s="262"/>
      <c r="AH13" s="272"/>
      <c r="AI13" s="273"/>
    </row>
    <row r="14" spans="1:84" ht="16.5" customHeight="1" x14ac:dyDescent="0.25">
      <c r="A14" s="93" t="s">
        <v>28</v>
      </c>
      <c r="B14" s="94"/>
      <c r="C14" s="94"/>
      <c r="D14" s="329"/>
      <c r="E14" s="329"/>
      <c r="F14" s="329"/>
      <c r="G14" s="329"/>
      <c r="H14" s="329"/>
      <c r="I14" s="329"/>
      <c r="J14" s="329"/>
      <c r="K14" s="329"/>
      <c r="L14" s="330"/>
      <c r="M14" s="290" t="s">
        <v>21</v>
      </c>
      <c r="N14" s="291"/>
      <c r="O14" s="1319">
        <v>0.315</v>
      </c>
      <c r="P14" s="1590"/>
      <c r="Q14" s="1591"/>
      <c r="R14" s="1276"/>
      <c r="S14" s="328"/>
      <c r="T14" s="1477" t="s">
        <v>148</v>
      </c>
      <c r="U14" s="1459"/>
      <c r="V14" s="1459"/>
      <c r="W14" s="1461" t="s">
        <v>556</v>
      </c>
      <c r="X14" s="1461" t="s">
        <v>557</v>
      </c>
      <c r="Y14" s="1459"/>
      <c r="Z14" s="1459"/>
      <c r="AA14" s="1219"/>
      <c r="AB14" s="239"/>
      <c r="AC14" s="274"/>
      <c r="AD14" s="272"/>
      <c r="AE14" s="275" t="s">
        <v>31</v>
      </c>
      <c r="AF14" s="262"/>
      <c r="AG14" s="275" t="s">
        <v>185</v>
      </c>
      <c r="AH14" s="272" t="s">
        <v>203</v>
      </c>
      <c r="AI14" s="273" t="s">
        <v>204</v>
      </c>
      <c r="AK14" s="64" t="s">
        <v>31</v>
      </c>
    </row>
    <row r="15" spans="1:84" ht="16.5" customHeight="1" x14ac:dyDescent="0.25">
      <c r="A15" s="1187" t="s">
        <v>5</v>
      </c>
      <c r="B15" s="37"/>
      <c r="C15" s="37"/>
      <c r="D15" s="331"/>
      <c r="E15" s="1280"/>
      <c r="F15" s="1280"/>
      <c r="G15" s="1280"/>
      <c r="H15" s="1280"/>
      <c r="I15" s="1280"/>
      <c r="J15" s="1280"/>
      <c r="K15" s="1280"/>
      <c r="L15" s="236"/>
      <c r="M15" s="1159"/>
      <c r="N15" s="1159"/>
      <c r="O15" s="1159"/>
      <c r="P15" s="1590"/>
      <c r="Q15" s="1591"/>
      <c r="R15" s="1277" t="s">
        <v>131</v>
      </c>
      <c r="S15" s="328"/>
      <c r="T15" s="1477"/>
      <c r="U15" s="1460"/>
      <c r="V15" s="1460"/>
      <c r="W15" s="1461"/>
      <c r="X15" s="1461"/>
      <c r="Y15" s="1460"/>
      <c r="Z15" s="1460"/>
      <c r="AA15" s="1219"/>
      <c r="AB15" s="239"/>
      <c r="AC15" s="274"/>
      <c r="AD15" s="276"/>
      <c r="AE15" s="276"/>
      <c r="AF15" s="277" t="s">
        <v>36</v>
      </c>
      <c r="AG15" s="275" t="s">
        <v>186</v>
      </c>
      <c r="AH15" s="278"/>
      <c r="AI15" s="279"/>
    </row>
    <row r="16" spans="1:84" ht="30" customHeight="1" thickBot="1" x14ac:dyDescent="0.3">
      <c r="A16" s="1207" t="s">
        <v>36</v>
      </c>
      <c r="B16" s="1322"/>
      <c r="C16" s="1208" t="s">
        <v>25</v>
      </c>
      <c r="D16" s="1217" t="s">
        <v>6</v>
      </c>
      <c r="E16" s="49"/>
      <c r="F16" s="49"/>
      <c r="G16" s="49"/>
      <c r="H16" s="1217" t="s">
        <v>568</v>
      </c>
      <c r="I16" s="1218" t="s">
        <v>27</v>
      </c>
      <c r="J16" s="1218" t="s">
        <v>558</v>
      </c>
      <c r="K16" s="1351"/>
      <c r="L16" s="1218" t="s">
        <v>7</v>
      </c>
      <c r="M16" s="1218" t="s">
        <v>54</v>
      </c>
      <c r="N16" s="1218" t="s">
        <v>55</v>
      </c>
      <c r="O16" s="1218" t="s">
        <v>8</v>
      </c>
      <c r="P16" s="1590"/>
      <c r="Q16" s="1592"/>
      <c r="R16" s="1278"/>
      <c r="S16" s="328"/>
      <c r="T16" s="1478"/>
      <c r="U16" s="1359"/>
      <c r="V16" s="1359"/>
      <c r="W16" s="1462"/>
      <c r="X16" s="1462"/>
      <c r="Y16" s="1359"/>
      <c r="Z16" s="1359"/>
      <c r="AA16" s="1220"/>
      <c r="AB16" s="246"/>
      <c r="AC16" s="488"/>
      <c r="AD16" s="489"/>
      <c r="AE16" s="490"/>
      <c r="AF16" s="491"/>
      <c r="AG16" s="1465" t="s">
        <v>160</v>
      </c>
      <c r="AH16" s="1465"/>
      <c r="AI16" s="1466"/>
      <c r="AK16" s="1472" t="s">
        <v>159</v>
      </c>
      <c r="AL16" s="1472"/>
      <c r="AN16" s="1473" t="s">
        <v>160</v>
      </c>
      <c r="AO16" s="1473"/>
      <c r="AQ16" s="1474" t="s">
        <v>161</v>
      </c>
      <c r="AR16" s="1474"/>
      <c r="AS16" s="1474"/>
    </row>
    <row r="17" spans="1:45" ht="16.5" customHeight="1" thickTop="1" thickBot="1" x14ac:dyDescent="0.3">
      <c r="A17" s="225"/>
      <c r="B17" s="226"/>
      <c r="C17" s="405"/>
      <c r="D17" s="1312">
        <f t="shared" ref="D17:D24" si="0">J17/12</f>
        <v>0</v>
      </c>
      <c r="F17" s="1315"/>
      <c r="G17" s="329"/>
      <c r="H17" s="223" t="str">
        <f t="shared" ref="H17:H24" si="1">IF(P17=12, "n/a ", IF(AND(P17&lt;12, Q17="Yes"), "n/a", D17*R17))</f>
        <v xml:space="preserve">n/a </v>
      </c>
      <c r="I17" s="227"/>
      <c r="J17" s="1436"/>
      <c r="K17" s="1352"/>
      <c r="L17" s="398">
        <f>IF(AND(L108="Yes",I17&gt;L125),L125*D17*R17,IF(AND(P17=12,T17="Yes"),I17*Y17,IF(AND(P17&lt;12,T17="Yes"),I17*R17*Y17,I17*D17*R17)))</f>
        <v>0</v>
      </c>
      <c r="M17" s="223">
        <f>IF(AND(SetUp!$C$4="No",$M$217="No"),$N$218,IF(AND(SetUp!$C$4="No",$M$217="Yes"),$O$14,$O$13))</f>
        <v>0.30499999999999999</v>
      </c>
      <c r="N17" s="22">
        <f t="shared" ref="N17:N24" si="2">L17*M17</f>
        <v>0</v>
      </c>
      <c r="O17" s="398">
        <f t="shared" ref="O17:O25" si="3">L17+N17</f>
        <v>0</v>
      </c>
      <c r="P17" s="1593">
        <v>12</v>
      </c>
      <c r="Q17" s="1594" t="s">
        <v>60</v>
      </c>
      <c r="R17" s="1295">
        <f t="shared" ref="R17:R24" si="4">P17/12</f>
        <v>1</v>
      </c>
      <c r="T17" s="1354" t="s">
        <v>60</v>
      </c>
      <c r="U17" s="248" t="str">
        <f t="shared" ref="U17:U24" si="5">IF(T17="No", " ", Y17/D17)</f>
        <v xml:space="preserve"> </v>
      </c>
      <c r="V17" s="249" t="str">
        <f>IF(T17="No", " ", 1-U17)</f>
        <v xml:space="preserve"> </v>
      </c>
      <c r="W17" s="1293"/>
      <c r="X17" s="1298" t="str">
        <f>IF(Z17 = " ", " ", Z17*12)</f>
        <v xml:space="preserve"> </v>
      </c>
      <c r="Y17" s="846">
        <f>W17/12</f>
        <v>0</v>
      </c>
      <c r="Z17" s="254" t="str">
        <f t="shared" ref="Z17:Z24" si="6">IF(AND(P17=12,T17="Yes"),D17-Y17,IF(AND(P17&lt;12,T17="Yes"),H17-Y17," "))</f>
        <v xml:space="preserve"> </v>
      </c>
      <c r="AA17" s="256" t="str">
        <f t="shared" ref="AA17:AA24" si="7">IF(AND(P17=12,T17="Yes",Y17&gt;D17),"ERROR",IF(AND(P17&lt;12,T17="Yes",Y17&gt;H17),"ERROR"," "))</f>
        <v xml:space="preserve"> </v>
      </c>
      <c r="AB17" s="136"/>
      <c r="AC17" s="258"/>
      <c r="AD17" s="259"/>
      <c r="AE17" s="259"/>
      <c r="AF17" s="302">
        <f t="shared" ref="AF17:AF24" si="8">A17</f>
        <v>0</v>
      </c>
      <c r="AG17" s="303">
        <f t="shared" ref="AG17:AG24" si="9">O17</f>
        <v>0</v>
      </c>
      <c r="AH17" s="837"/>
      <c r="AI17" s="264">
        <f>1-AH17</f>
        <v>1</v>
      </c>
      <c r="AK17" s="4">
        <f t="shared" ref="AK17:AK24" si="10">O17*AD17</f>
        <v>0</v>
      </c>
      <c r="AL17" s="4">
        <f t="shared" ref="AL17:AL24" si="11">O17*AE17</f>
        <v>0</v>
      </c>
      <c r="AN17" s="4">
        <f t="shared" ref="AN17:AN24" si="12">O17*AH17</f>
        <v>0</v>
      </c>
      <c r="AO17" s="4">
        <f t="shared" ref="AO17:AO24" si="13">O17*AI17</f>
        <v>0</v>
      </c>
      <c r="AQ17" s="4">
        <f t="shared" ref="AQ17:AR24" si="14">AK17+AN17</f>
        <v>0</v>
      </c>
      <c r="AR17" s="4">
        <f t="shared" si="14"/>
        <v>0</v>
      </c>
      <c r="AS17" s="4">
        <f>AQ17+AR17</f>
        <v>0</v>
      </c>
    </row>
    <row r="18" spans="1:45" ht="16.5" customHeight="1" thickTop="1" thickBot="1" x14ac:dyDescent="0.3">
      <c r="A18" s="225"/>
      <c r="B18" s="226"/>
      <c r="C18" s="405"/>
      <c r="D18" s="1313">
        <f t="shared" si="0"/>
        <v>0</v>
      </c>
      <c r="F18" s="1316"/>
      <c r="G18" s="262"/>
      <c r="H18" s="223" t="str">
        <f t="shared" si="1"/>
        <v xml:space="preserve">n/a </v>
      </c>
      <c r="I18" s="227"/>
      <c r="J18" s="1436"/>
      <c r="K18" s="1352"/>
      <c r="L18" s="398">
        <f t="shared" ref="L18:L24" si="15">IF(AND(P18=12,T18="Yes"),I18*Y18,IF(AND(P18&lt;12,T18="Yes"),I18*R18*Y18,IF(AND(Q18="Yes",T18="No"),I18*D18*R18,I18*D18*R18)))</f>
        <v>0</v>
      </c>
      <c r="M18" s="223">
        <f>IF(AND(SetUp!$C$4="No",$M$217="No"),$N$218,IF(AND(SetUp!$C$4="No",$M$217="Yes"),$O$14,$O$13))</f>
        <v>0.30499999999999999</v>
      </c>
      <c r="N18" s="22">
        <f t="shared" si="2"/>
        <v>0</v>
      </c>
      <c r="O18" s="513">
        <f t="shared" si="3"/>
        <v>0</v>
      </c>
      <c r="P18" s="1593">
        <v>12</v>
      </c>
      <c r="Q18" s="1594" t="s">
        <v>60</v>
      </c>
      <c r="R18" s="1295">
        <f t="shared" si="4"/>
        <v>1</v>
      </c>
      <c r="T18" s="247" t="s">
        <v>60</v>
      </c>
      <c r="U18" s="248" t="str">
        <f t="shared" si="5"/>
        <v xml:space="preserve"> </v>
      </c>
      <c r="V18" s="250" t="str">
        <f t="shared" ref="V18:V24" si="16">IF(T18="No", " ", 1-U18)</f>
        <v xml:space="preserve"> </v>
      </c>
      <c r="W18" s="1293"/>
      <c r="X18" s="1298" t="str">
        <f t="shared" ref="X18:X24" si="17">IF(Z18 = " ", " ", Z18*12)</f>
        <v xml:space="preserve"> </v>
      </c>
      <c r="Y18" s="846">
        <f t="shared" ref="Y18:Y24" si="18">W18/12</f>
        <v>0</v>
      </c>
      <c r="Z18" s="254" t="str">
        <f t="shared" si="6"/>
        <v xml:space="preserve"> </v>
      </c>
      <c r="AA18" s="256" t="str">
        <f t="shared" si="7"/>
        <v xml:space="preserve"> </v>
      </c>
      <c r="AB18" s="136"/>
      <c r="AC18" s="258"/>
      <c r="AD18" s="259"/>
      <c r="AE18" s="259"/>
      <c r="AF18" s="302">
        <f t="shared" si="8"/>
        <v>0</v>
      </c>
      <c r="AG18" s="303">
        <f t="shared" si="9"/>
        <v>0</v>
      </c>
      <c r="AH18" s="837"/>
      <c r="AI18" s="264">
        <f t="shared" ref="AI18:AI24" si="19">1-AH18</f>
        <v>1</v>
      </c>
      <c r="AK18" s="4">
        <f t="shared" si="10"/>
        <v>0</v>
      </c>
      <c r="AL18" s="4">
        <f t="shared" si="11"/>
        <v>0</v>
      </c>
      <c r="AN18" s="4">
        <f t="shared" si="12"/>
        <v>0</v>
      </c>
      <c r="AO18" s="4">
        <f t="shared" si="13"/>
        <v>0</v>
      </c>
      <c r="AQ18" s="4">
        <f t="shared" si="14"/>
        <v>0</v>
      </c>
      <c r="AR18" s="4">
        <f t="shared" si="14"/>
        <v>0</v>
      </c>
      <c r="AS18" s="4">
        <f t="shared" ref="AS18:AS25" si="20">AQ18+AR18</f>
        <v>0</v>
      </c>
    </row>
    <row r="19" spans="1:45" ht="16.5" customHeight="1" thickTop="1" thickBot="1" x14ac:dyDescent="0.3">
      <c r="A19" s="225"/>
      <c r="B19" s="226"/>
      <c r="C19" s="405"/>
      <c r="D19" s="1313">
        <f t="shared" si="0"/>
        <v>0</v>
      </c>
      <c r="F19" s="1316"/>
      <c r="G19" s="262"/>
      <c r="H19" s="223" t="str">
        <f t="shared" si="1"/>
        <v xml:space="preserve">n/a </v>
      </c>
      <c r="I19" s="227"/>
      <c r="J19" s="1436"/>
      <c r="K19" s="1352"/>
      <c r="L19" s="398">
        <f t="shared" si="15"/>
        <v>0</v>
      </c>
      <c r="M19" s="223">
        <f>IF(AND(SetUp!$C$4="No",$M$217="No"),$N$218,IF(AND(SetUp!$C$4="No",$M$217="Yes"),$O$14,$O$13))</f>
        <v>0.30499999999999999</v>
      </c>
      <c r="N19" s="22">
        <f t="shared" si="2"/>
        <v>0</v>
      </c>
      <c r="O19" s="513">
        <f t="shared" si="3"/>
        <v>0</v>
      </c>
      <c r="P19" s="1593">
        <v>12</v>
      </c>
      <c r="Q19" s="1594" t="s">
        <v>60</v>
      </c>
      <c r="R19" s="1295">
        <f t="shared" si="4"/>
        <v>1</v>
      </c>
      <c r="T19" s="247" t="s">
        <v>60</v>
      </c>
      <c r="U19" s="248" t="str">
        <f t="shared" si="5"/>
        <v xml:space="preserve"> </v>
      </c>
      <c r="V19" s="250" t="str">
        <f t="shared" si="16"/>
        <v xml:space="preserve"> </v>
      </c>
      <c r="W19" s="1293"/>
      <c r="X19" s="1298" t="str">
        <f t="shared" si="17"/>
        <v xml:space="preserve"> </v>
      </c>
      <c r="Y19" s="846">
        <f t="shared" si="18"/>
        <v>0</v>
      </c>
      <c r="Z19" s="254" t="str">
        <f t="shared" si="6"/>
        <v xml:space="preserve"> </v>
      </c>
      <c r="AA19" s="256" t="str">
        <f t="shared" si="7"/>
        <v xml:space="preserve"> </v>
      </c>
      <c r="AB19" s="136"/>
      <c r="AC19" s="258"/>
      <c r="AD19" s="259"/>
      <c r="AE19" s="259"/>
      <c r="AF19" s="302">
        <f t="shared" si="8"/>
        <v>0</v>
      </c>
      <c r="AG19" s="303">
        <f t="shared" si="9"/>
        <v>0</v>
      </c>
      <c r="AH19" s="837"/>
      <c r="AI19" s="264">
        <f t="shared" si="19"/>
        <v>1</v>
      </c>
      <c r="AK19" s="4">
        <f t="shared" si="10"/>
        <v>0</v>
      </c>
      <c r="AL19" s="4">
        <f t="shared" si="11"/>
        <v>0</v>
      </c>
      <c r="AN19" s="4">
        <f t="shared" si="12"/>
        <v>0</v>
      </c>
      <c r="AO19" s="4">
        <f t="shared" si="13"/>
        <v>0</v>
      </c>
      <c r="AQ19" s="4">
        <f t="shared" si="14"/>
        <v>0</v>
      </c>
      <c r="AR19" s="4">
        <f t="shared" si="14"/>
        <v>0</v>
      </c>
      <c r="AS19" s="4">
        <f t="shared" si="20"/>
        <v>0</v>
      </c>
    </row>
    <row r="20" spans="1:45" ht="16.5" customHeight="1" thickTop="1" thickBot="1" x14ac:dyDescent="0.3">
      <c r="A20" s="225"/>
      <c r="B20" s="226"/>
      <c r="C20" s="405"/>
      <c r="D20" s="1313">
        <f t="shared" si="0"/>
        <v>0</v>
      </c>
      <c r="F20" s="1316"/>
      <c r="G20" s="262"/>
      <c r="H20" s="223" t="str">
        <f t="shared" si="1"/>
        <v xml:space="preserve">n/a </v>
      </c>
      <c r="I20" s="227"/>
      <c r="J20" s="1436"/>
      <c r="K20" s="1352"/>
      <c r="L20" s="398">
        <f t="shared" si="15"/>
        <v>0</v>
      </c>
      <c r="M20" s="223">
        <f>IF(AND(SetUp!$C$4="No",$M$217="No"),$N$218,IF(AND(SetUp!$C$4="No",$M$217="Yes"),$O$14,$O$13))</f>
        <v>0.30499999999999999</v>
      </c>
      <c r="N20" s="22">
        <f t="shared" si="2"/>
        <v>0</v>
      </c>
      <c r="O20" s="513">
        <f t="shared" si="3"/>
        <v>0</v>
      </c>
      <c r="P20" s="1593">
        <v>12</v>
      </c>
      <c r="Q20" s="1594" t="s">
        <v>60</v>
      </c>
      <c r="R20" s="1295">
        <f t="shared" si="4"/>
        <v>1</v>
      </c>
      <c r="T20" s="247" t="s">
        <v>60</v>
      </c>
      <c r="U20" s="248" t="str">
        <f t="shared" si="5"/>
        <v xml:space="preserve"> </v>
      </c>
      <c r="V20" s="250" t="str">
        <f t="shared" si="16"/>
        <v xml:space="preserve"> </v>
      </c>
      <c r="W20" s="1293"/>
      <c r="X20" s="1298" t="str">
        <f t="shared" si="17"/>
        <v xml:space="preserve"> </v>
      </c>
      <c r="Y20" s="846">
        <f t="shared" si="18"/>
        <v>0</v>
      </c>
      <c r="Z20" s="254" t="str">
        <f t="shared" si="6"/>
        <v xml:space="preserve"> </v>
      </c>
      <c r="AA20" s="256" t="str">
        <f t="shared" si="7"/>
        <v xml:space="preserve"> </v>
      </c>
      <c r="AB20" s="136"/>
      <c r="AC20" s="258"/>
      <c r="AD20" s="259"/>
      <c r="AE20" s="259"/>
      <c r="AF20" s="302">
        <f t="shared" si="8"/>
        <v>0</v>
      </c>
      <c r="AG20" s="303">
        <f t="shared" si="9"/>
        <v>0</v>
      </c>
      <c r="AH20" s="837"/>
      <c r="AI20" s="264">
        <f t="shared" si="19"/>
        <v>1</v>
      </c>
      <c r="AK20" s="4">
        <f t="shared" si="10"/>
        <v>0</v>
      </c>
      <c r="AL20" s="4">
        <f t="shared" si="11"/>
        <v>0</v>
      </c>
      <c r="AN20" s="4">
        <f t="shared" si="12"/>
        <v>0</v>
      </c>
      <c r="AO20" s="4">
        <f t="shared" si="13"/>
        <v>0</v>
      </c>
      <c r="AQ20" s="4">
        <f t="shared" si="14"/>
        <v>0</v>
      </c>
      <c r="AR20" s="4">
        <f t="shared" si="14"/>
        <v>0</v>
      </c>
      <c r="AS20" s="4">
        <f t="shared" si="20"/>
        <v>0</v>
      </c>
    </row>
    <row r="21" spans="1:45" ht="16.5" customHeight="1" thickTop="1" thickBot="1" x14ac:dyDescent="0.3">
      <c r="A21" s="225"/>
      <c r="B21" s="226"/>
      <c r="C21" s="405"/>
      <c r="D21" s="1313">
        <f t="shared" si="0"/>
        <v>0</v>
      </c>
      <c r="F21" s="1316"/>
      <c r="G21" s="262"/>
      <c r="H21" s="223" t="str">
        <f t="shared" si="1"/>
        <v xml:space="preserve">n/a </v>
      </c>
      <c r="I21" s="227"/>
      <c r="J21" s="1436"/>
      <c r="K21" s="1352"/>
      <c r="L21" s="398">
        <f t="shared" si="15"/>
        <v>0</v>
      </c>
      <c r="M21" s="223">
        <f>IF(AND(SetUp!$C$4="No",$M$217="No"),$N$218,IF(AND(SetUp!$C$4="No",$M$217="Yes"),$O$14,$O$13))</f>
        <v>0.30499999999999999</v>
      </c>
      <c r="N21" s="22">
        <f t="shared" si="2"/>
        <v>0</v>
      </c>
      <c r="O21" s="513">
        <f t="shared" si="3"/>
        <v>0</v>
      </c>
      <c r="P21" s="1593">
        <v>12</v>
      </c>
      <c r="Q21" s="1594" t="s">
        <v>60</v>
      </c>
      <c r="R21" s="1295">
        <f t="shared" si="4"/>
        <v>1</v>
      </c>
      <c r="T21" s="247" t="s">
        <v>60</v>
      </c>
      <c r="U21" s="248" t="str">
        <f t="shared" si="5"/>
        <v xml:space="preserve"> </v>
      </c>
      <c r="V21" s="250" t="str">
        <f t="shared" si="16"/>
        <v xml:space="preserve"> </v>
      </c>
      <c r="W21" s="1293"/>
      <c r="X21" s="1298" t="str">
        <f t="shared" si="17"/>
        <v xml:space="preserve"> </v>
      </c>
      <c r="Y21" s="846">
        <f t="shared" si="18"/>
        <v>0</v>
      </c>
      <c r="Z21" s="254" t="str">
        <f t="shared" si="6"/>
        <v xml:space="preserve"> </v>
      </c>
      <c r="AA21" s="256" t="str">
        <f t="shared" si="7"/>
        <v xml:space="preserve"> </v>
      </c>
      <c r="AB21" s="136"/>
      <c r="AC21" s="258"/>
      <c r="AD21" s="259"/>
      <c r="AE21" s="259"/>
      <c r="AF21" s="302">
        <f t="shared" si="8"/>
        <v>0</v>
      </c>
      <c r="AG21" s="303">
        <f t="shared" si="9"/>
        <v>0</v>
      </c>
      <c r="AH21" s="837"/>
      <c r="AI21" s="264">
        <f t="shared" si="19"/>
        <v>1</v>
      </c>
      <c r="AK21" s="4">
        <f t="shared" si="10"/>
        <v>0</v>
      </c>
      <c r="AL21" s="4">
        <f t="shared" si="11"/>
        <v>0</v>
      </c>
      <c r="AN21" s="4">
        <f t="shared" si="12"/>
        <v>0</v>
      </c>
      <c r="AO21" s="4">
        <f t="shared" si="13"/>
        <v>0</v>
      </c>
      <c r="AQ21" s="4">
        <f t="shared" si="14"/>
        <v>0</v>
      </c>
      <c r="AR21" s="4">
        <f t="shared" si="14"/>
        <v>0</v>
      </c>
      <c r="AS21" s="4">
        <f t="shared" si="20"/>
        <v>0</v>
      </c>
    </row>
    <row r="22" spans="1:45" ht="16.5" customHeight="1" thickTop="1" thickBot="1" x14ac:dyDescent="0.3">
      <c r="A22" s="225"/>
      <c r="B22" s="226"/>
      <c r="C22" s="405"/>
      <c r="D22" s="1313">
        <f t="shared" si="0"/>
        <v>0</v>
      </c>
      <c r="F22" s="1316"/>
      <c r="G22" s="262"/>
      <c r="H22" s="223" t="str">
        <f t="shared" si="1"/>
        <v xml:space="preserve">n/a </v>
      </c>
      <c r="I22" s="227"/>
      <c r="J22" s="1436"/>
      <c r="K22" s="1352"/>
      <c r="L22" s="398">
        <f t="shared" si="15"/>
        <v>0</v>
      </c>
      <c r="M22" s="223">
        <f>IF(AND(SetUp!$C$4="No",$M$217="No"),$N$218,IF(AND(SetUp!$C$4="No",$M$217="Yes"),$O$14,$O$13))</f>
        <v>0.30499999999999999</v>
      </c>
      <c r="N22" s="22">
        <f t="shared" si="2"/>
        <v>0</v>
      </c>
      <c r="O22" s="513">
        <f t="shared" si="3"/>
        <v>0</v>
      </c>
      <c r="P22" s="1593">
        <v>12</v>
      </c>
      <c r="Q22" s="1594" t="s">
        <v>60</v>
      </c>
      <c r="R22" s="1295">
        <f t="shared" si="4"/>
        <v>1</v>
      </c>
      <c r="T22" s="247" t="s">
        <v>60</v>
      </c>
      <c r="U22" s="248" t="str">
        <f t="shared" si="5"/>
        <v xml:space="preserve"> </v>
      </c>
      <c r="V22" s="250" t="str">
        <f t="shared" si="16"/>
        <v xml:space="preserve"> </v>
      </c>
      <c r="W22" s="1293"/>
      <c r="X22" s="1298" t="str">
        <f t="shared" si="17"/>
        <v xml:space="preserve"> </v>
      </c>
      <c r="Y22" s="846">
        <f t="shared" si="18"/>
        <v>0</v>
      </c>
      <c r="Z22" s="254" t="str">
        <f t="shared" si="6"/>
        <v xml:space="preserve"> </v>
      </c>
      <c r="AA22" s="256" t="str">
        <f t="shared" si="7"/>
        <v xml:space="preserve"> </v>
      </c>
      <c r="AB22" s="136"/>
      <c r="AC22" s="258"/>
      <c r="AD22" s="259"/>
      <c r="AE22" s="259"/>
      <c r="AF22" s="302">
        <f t="shared" si="8"/>
        <v>0</v>
      </c>
      <c r="AG22" s="303">
        <f t="shared" si="9"/>
        <v>0</v>
      </c>
      <c r="AH22" s="837"/>
      <c r="AI22" s="264">
        <f t="shared" si="19"/>
        <v>1</v>
      </c>
      <c r="AK22" s="4">
        <f t="shared" si="10"/>
        <v>0</v>
      </c>
      <c r="AL22" s="4">
        <f t="shared" si="11"/>
        <v>0</v>
      </c>
      <c r="AN22" s="4">
        <f t="shared" si="12"/>
        <v>0</v>
      </c>
      <c r="AO22" s="4">
        <f t="shared" si="13"/>
        <v>0</v>
      </c>
      <c r="AQ22" s="4">
        <f t="shared" si="14"/>
        <v>0</v>
      </c>
      <c r="AR22" s="4">
        <f t="shared" si="14"/>
        <v>0</v>
      </c>
      <c r="AS22" s="4">
        <f t="shared" si="20"/>
        <v>0</v>
      </c>
    </row>
    <row r="23" spans="1:45" ht="16.5" customHeight="1" thickTop="1" thickBot="1" x14ac:dyDescent="0.3">
      <c r="A23" s="225"/>
      <c r="B23" s="226"/>
      <c r="C23" s="405"/>
      <c r="D23" s="1313">
        <f t="shared" si="0"/>
        <v>0</v>
      </c>
      <c r="F23" s="1316"/>
      <c r="G23" s="262"/>
      <c r="H23" s="223" t="str">
        <f t="shared" si="1"/>
        <v xml:space="preserve">n/a </v>
      </c>
      <c r="I23" s="227"/>
      <c r="J23" s="1436"/>
      <c r="K23" s="1352"/>
      <c r="L23" s="398">
        <f t="shared" si="15"/>
        <v>0</v>
      </c>
      <c r="M23" s="223">
        <f>IF(AND(SetUp!$C$4="No",$M$217="No"),$N$218,IF(AND(SetUp!$C$4="No",$M$217="Yes"),$O$14,$O$13))</f>
        <v>0.30499999999999999</v>
      </c>
      <c r="N23" s="22">
        <f t="shared" si="2"/>
        <v>0</v>
      </c>
      <c r="O23" s="513">
        <f t="shared" si="3"/>
        <v>0</v>
      </c>
      <c r="P23" s="1593">
        <v>12</v>
      </c>
      <c r="Q23" s="1594" t="s">
        <v>60</v>
      </c>
      <c r="R23" s="1295">
        <f t="shared" si="4"/>
        <v>1</v>
      </c>
      <c r="T23" s="247" t="s">
        <v>60</v>
      </c>
      <c r="U23" s="248" t="str">
        <f t="shared" si="5"/>
        <v xml:space="preserve"> </v>
      </c>
      <c r="V23" s="250" t="str">
        <f t="shared" si="16"/>
        <v xml:space="preserve"> </v>
      </c>
      <c r="W23" s="1293"/>
      <c r="X23" s="1298" t="str">
        <f t="shared" si="17"/>
        <v xml:space="preserve"> </v>
      </c>
      <c r="Y23" s="846">
        <f t="shared" si="18"/>
        <v>0</v>
      </c>
      <c r="Z23" s="254" t="str">
        <f t="shared" si="6"/>
        <v xml:space="preserve"> </v>
      </c>
      <c r="AA23" s="256" t="str">
        <f t="shared" si="7"/>
        <v xml:space="preserve"> </v>
      </c>
      <c r="AB23" s="136"/>
      <c r="AC23" s="258"/>
      <c r="AD23" s="259"/>
      <c r="AE23" s="259"/>
      <c r="AF23" s="302">
        <f t="shared" si="8"/>
        <v>0</v>
      </c>
      <c r="AG23" s="303">
        <f t="shared" si="9"/>
        <v>0</v>
      </c>
      <c r="AH23" s="837"/>
      <c r="AI23" s="264">
        <f t="shared" si="19"/>
        <v>1</v>
      </c>
      <c r="AK23" s="4">
        <f t="shared" si="10"/>
        <v>0</v>
      </c>
      <c r="AL23" s="4">
        <f t="shared" si="11"/>
        <v>0</v>
      </c>
      <c r="AN23" s="4">
        <f t="shared" si="12"/>
        <v>0</v>
      </c>
      <c r="AO23" s="4">
        <f t="shared" si="13"/>
        <v>0</v>
      </c>
      <c r="AQ23" s="4">
        <f t="shared" si="14"/>
        <v>0</v>
      </c>
      <c r="AR23" s="4">
        <f t="shared" si="14"/>
        <v>0</v>
      </c>
      <c r="AS23" s="4">
        <f t="shared" si="20"/>
        <v>0</v>
      </c>
    </row>
    <row r="24" spans="1:45" ht="16.5" customHeight="1" thickTop="1" x14ac:dyDescent="0.25">
      <c r="A24" s="225"/>
      <c r="B24" s="226"/>
      <c r="C24" s="405"/>
      <c r="D24" s="1314">
        <f t="shared" si="0"/>
        <v>0</v>
      </c>
      <c r="F24" s="1317"/>
      <c r="G24" s="1321"/>
      <c r="H24" s="223" t="str">
        <f t="shared" si="1"/>
        <v xml:space="preserve">n/a </v>
      </c>
      <c r="I24" s="227"/>
      <c r="J24" s="1436"/>
      <c r="K24" s="1352"/>
      <c r="L24" s="398">
        <f t="shared" si="15"/>
        <v>0</v>
      </c>
      <c r="M24" s="223">
        <f>IF(AND(SetUp!$C$4="No",$M$217="No"),$N$218,IF(AND(SetUp!$C$4="No",$M$217="Yes"),$O$14,$O$13))</f>
        <v>0.30499999999999999</v>
      </c>
      <c r="N24" s="22">
        <f t="shared" si="2"/>
        <v>0</v>
      </c>
      <c r="O24" s="513">
        <f t="shared" si="3"/>
        <v>0</v>
      </c>
      <c r="P24" s="1595">
        <v>12</v>
      </c>
      <c r="Q24" s="1596" t="s">
        <v>60</v>
      </c>
      <c r="R24" s="1296">
        <f t="shared" si="4"/>
        <v>1</v>
      </c>
      <c r="T24" s="251" t="s">
        <v>60</v>
      </c>
      <c r="U24" s="252" t="str">
        <f t="shared" si="5"/>
        <v xml:space="preserve"> </v>
      </c>
      <c r="V24" s="253" t="str">
        <f t="shared" si="16"/>
        <v xml:space="preserve"> </v>
      </c>
      <c r="W24" s="1293"/>
      <c r="X24" s="1299" t="str">
        <f t="shared" si="17"/>
        <v xml:space="preserve"> </v>
      </c>
      <c r="Y24" s="846">
        <f t="shared" si="18"/>
        <v>0</v>
      </c>
      <c r="Z24" s="257" t="str">
        <f t="shared" si="6"/>
        <v xml:space="preserve"> </v>
      </c>
      <c r="AA24" s="256" t="str">
        <f t="shared" si="7"/>
        <v xml:space="preserve"> </v>
      </c>
      <c r="AB24" s="136"/>
      <c r="AC24" s="258"/>
      <c r="AD24" s="259"/>
      <c r="AE24" s="259"/>
      <c r="AF24" s="302">
        <f t="shared" si="8"/>
        <v>0</v>
      </c>
      <c r="AG24" s="303">
        <f t="shared" si="9"/>
        <v>0</v>
      </c>
      <c r="AH24" s="837"/>
      <c r="AI24" s="264">
        <f t="shared" si="19"/>
        <v>1</v>
      </c>
      <c r="AK24" s="4">
        <f t="shared" si="10"/>
        <v>0</v>
      </c>
      <c r="AL24" s="4">
        <f t="shared" si="11"/>
        <v>0</v>
      </c>
      <c r="AN24" s="4">
        <f t="shared" si="12"/>
        <v>0</v>
      </c>
      <c r="AO24" s="4">
        <f t="shared" si="13"/>
        <v>0</v>
      </c>
      <c r="AQ24" s="4">
        <f t="shared" si="14"/>
        <v>0</v>
      </c>
      <c r="AR24" s="4">
        <f t="shared" si="14"/>
        <v>0</v>
      </c>
      <c r="AS24" s="4">
        <f t="shared" si="20"/>
        <v>0</v>
      </c>
    </row>
    <row r="25" spans="1:45" ht="14.4" x14ac:dyDescent="0.25">
      <c r="A25" s="293"/>
      <c r="B25" s="294"/>
      <c r="C25" s="294"/>
      <c r="D25" s="295"/>
      <c r="E25" s="295"/>
      <c r="F25" s="295"/>
      <c r="G25" s="296"/>
      <c r="H25" s="296"/>
      <c r="I25" s="1204" t="s">
        <v>222</v>
      </c>
      <c r="J25" s="1289"/>
      <c r="K25" s="1289"/>
      <c r="L25" s="297">
        <v>0</v>
      </c>
      <c r="M25" s="297"/>
      <c r="N25" s="297">
        <v>0</v>
      </c>
      <c r="O25" s="514">
        <f t="shared" si="3"/>
        <v>0</v>
      </c>
      <c r="P25" s="1597"/>
      <c r="Q25" s="1598"/>
      <c r="R25" s="1061"/>
      <c r="S25" s="1051"/>
      <c r="T25" s="1051"/>
      <c r="U25" s="1051"/>
      <c r="V25" s="1051"/>
      <c r="W25" s="1051"/>
      <c r="X25" s="1051"/>
      <c r="Y25" s="1051"/>
      <c r="Z25" s="1051"/>
      <c r="AA25" s="1051"/>
      <c r="AB25" s="13"/>
      <c r="AC25" s="260"/>
      <c r="AD25" s="261"/>
      <c r="AE25" s="259"/>
      <c r="AF25" s="262"/>
      <c r="AG25" s="263">
        <v>0</v>
      </c>
      <c r="AH25" s="263">
        <v>0</v>
      </c>
      <c r="AI25" s="264"/>
      <c r="AK25" s="103" t="s">
        <v>138</v>
      </c>
      <c r="AL25" s="103" t="s">
        <v>138</v>
      </c>
      <c r="AN25" s="103" t="s">
        <v>138</v>
      </c>
      <c r="AO25" s="103" t="s">
        <v>138</v>
      </c>
      <c r="AQ25" s="103">
        <v>0</v>
      </c>
      <c r="AR25" s="103">
        <v>0</v>
      </c>
      <c r="AS25" s="50">
        <f t="shared" si="20"/>
        <v>0</v>
      </c>
    </row>
    <row r="26" spans="1:45" ht="16.5" customHeight="1" thickBot="1" x14ac:dyDescent="0.3">
      <c r="A26" s="1202" t="s">
        <v>9</v>
      </c>
      <c r="B26" s="1163"/>
      <c r="C26" s="1163"/>
      <c r="D26" s="421"/>
      <c r="E26" s="421"/>
      <c r="F26" s="421"/>
      <c r="G26" s="421"/>
      <c r="H26" s="421"/>
      <c r="I26" s="421"/>
      <c r="J26" s="421"/>
      <c r="K26" s="421"/>
      <c r="L26" s="1164">
        <f>SUM(L17:L25)</f>
        <v>0</v>
      </c>
      <c r="M26" s="1165"/>
      <c r="N26" s="1166">
        <f>SUM(N17:N25)</f>
        <v>0</v>
      </c>
      <c r="O26" s="299">
        <f>SUM(O17:O25)</f>
        <v>0</v>
      </c>
      <c r="P26" s="1599"/>
      <c r="Q26" s="1585"/>
      <c r="R26" s="1077"/>
      <c r="S26" s="1051"/>
      <c r="T26" s="1051"/>
      <c r="U26" s="1051"/>
      <c r="V26" s="1051"/>
      <c r="W26" s="1051"/>
      <c r="X26" s="1051"/>
      <c r="Y26" s="1051"/>
      <c r="Z26" s="1051"/>
      <c r="AA26" s="1051"/>
      <c r="AB26" s="13"/>
      <c r="AC26" s="271"/>
      <c r="AD26" s="272"/>
      <c r="AE26" s="272"/>
      <c r="AF26" s="262"/>
      <c r="AG26" s="262"/>
      <c r="AH26" s="272"/>
      <c r="AI26" s="273"/>
      <c r="AK26" s="121">
        <f>SUM(AK17:AK25)</f>
        <v>0</v>
      </c>
      <c r="AL26" s="121">
        <f>SUM(AL17:AL25)</f>
        <v>0</v>
      </c>
      <c r="AN26" s="121">
        <f>SUM(AN17:AN25)</f>
        <v>0</v>
      </c>
      <c r="AO26" s="121">
        <f>SUM(AO17:AO25)</f>
        <v>0</v>
      </c>
      <c r="AQ26" s="4">
        <f>SUM(AQ17:AQ25)</f>
        <v>0</v>
      </c>
      <c r="AR26" s="4">
        <f>SUM(AR17:AR25)</f>
        <v>0</v>
      </c>
      <c r="AS26" s="121">
        <f>SUM(AS17:AS25)</f>
        <v>0</v>
      </c>
    </row>
    <row r="27" spans="1:45" ht="16.5" customHeight="1" x14ac:dyDescent="0.25">
      <c r="A27" s="1187" t="s">
        <v>120</v>
      </c>
      <c r="B27" s="226"/>
      <c r="C27" s="226"/>
      <c r="D27" s="301"/>
      <c r="E27" s="301"/>
      <c r="F27" s="301"/>
      <c r="G27" s="301"/>
      <c r="H27" s="301"/>
      <c r="I27" s="301"/>
      <c r="J27" s="301"/>
      <c r="K27" s="301"/>
      <c r="L27" s="301"/>
      <c r="M27" s="301"/>
      <c r="N27" s="301"/>
      <c r="O27" s="338"/>
      <c r="P27" s="1599"/>
      <c r="Q27" s="1585"/>
      <c r="R27" s="1077"/>
      <c r="S27" s="1051"/>
      <c r="T27" s="1051"/>
      <c r="U27" s="1051"/>
      <c r="V27" s="1051"/>
      <c r="W27" s="1051"/>
      <c r="X27" s="1051"/>
      <c r="Y27" s="1051"/>
      <c r="Z27" s="1051"/>
      <c r="AA27" s="1051"/>
      <c r="AB27" s="13"/>
      <c r="AC27" s="271"/>
      <c r="AD27" s="272"/>
      <c r="AE27" s="272"/>
      <c r="AF27" s="262"/>
      <c r="AG27" s="262"/>
      <c r="AH27" s="272"/>
      <c r="AI27" s="273"/>
      <c r="AQ27" s="126"/>
      <c r="AR27" s="121"/>
    </row>
    <row r="28" spans="1:45" ht="16.5" customHeight="1" x14ac:dyDescent="0.25">
      <c r="A28" s="642"/>
      <c r="B28" s="342"/>
      <c r="C28" s="342"/>
      <c r="D28" s="301"/>
      <c r="E28" s="301"/>
      <c r="F28" s="301"/>
      <c r="H28" s="1270"/>
      <c r="I28" s="227"/>
      <c r="J28" s="261"/>
      <c r="K28" s="261"/>
      <c r="L28" s="301"/>
      <c r="M28" s="301"/>
      <c r="N28" s="301"/>
      <c r="O28" s="227"/>
      <c r="P28" s="1599"/>
      <c r="Q28" s="1585"/>
      <c r="R28" s="1077"/>
      <c r="S28" s="1051"/>
      <c r="T28" s="1051"/>
      <c r="U28" s="1051"/>
      <c r="V28" s="1051"/>
      <c r="W28" s="1051"/>
      <c r="X28" s="1051"/>
      <c r="Y28" s="1051"/>
      <c r="Z28" s="1051"/>
      <c r="AA28" s="1051"/>
      <c r="AB28" s="13"/>
      <c r="AC28" s="271"/>
      <c r="AD28" s="272"/>
      <c r="AE28" s="272"/>
      <c r="AF28" s="262"/>
      <c r="AG28" s="262"/>
      <c r="AH28" s="272"/>
      <c r="AI28" s="273"/>
    </row>
    <row r="29" spans="1:45" ht="16.5" customHeight="1" x14ac:dyDescent="0.25">
      <c r="A29" s="1269"/>
      <c r="B29" s="226"/>
      <c r="C29" s="226"/>
      <c r="D29" s="301"/>
      <c r="E29" s="301"/>
      <c r="F29" s="301"/>
      <c r="H29" s="1270"/>
      <c r="I29" s="227"/>
      <c r="J29" s="261"/>
      <c r="K29" s="261"/>
      <c r="L29" s="301"/>
      <c r="M29" s="301"/>
      <c r="N29" s="301"/>
      <c r="O29" s="227"/>
      <c r="P29" s="1599"/>
      <c r="Q29" s="1585"/>
      <c r="R29" s="1077"/>
      <c r="S29" s="1051"/>
      <c r="T29" s="1051"/>
      <c r="U29" s="1051"/>
      <c r="V29" s="1051"/>
      <c r="W29" s="1051"/>
      <c r="X29" s="1051"/>
      <c r="Y29" s="1051"/>
      <c r="Z29" s="1051"/>
      <c r="AA29" s="1051"/>
      <c r="AB29" s="13"/>
      <c r="AC29" s="271"/>
      <c r="AD29" s="272"/>
      <c r="AE29" s="272"/>
      <c r="AF29" s="262"/>
      <c r="AG29" s="262"/>
      <c r="AH29" s="272"/>
      <c r="AI29" s="273"/>
    </row>
    <row r="30" spans="1:45" ht="16.5" customHeight="1" x14ac:dyDescent="0.25">
      <c r="A30" s="1269"/>
      <c r="B30" s="226"/>
      <c r="C30" s="226"/>
      <c r="D30" s="301"/>
      <c r="E30" s="301"/>
      <c r="F30" s="301"/>
      <c r="H30" s="1270"/>
      <c r="I30" s="227"/>
      <c r="J30" s="261"/>
      <c r="K30" s="261"/>
      <c r="L30" s="301"/>
      <c r="M30" s="301"/>
      <c r="N30" s="301"/>
      <c r="O30" s="339"/>
      <c r="P30" s="1599"/>
      <c r="Q30" s="1585"/>
      <c r="R30" s="1077"/>
      <c r="S30" s="1051"/>
      <c r="T30" s="1051"/>
      <c r="U30" s="1051"/>
      <c r="V30" s="1051"/>
      <c r="W30" s="1051"/>
      <c r="X30" s="1051"/>
      <c r="Y30" s="1051"/>
      <c r="Z30" s="1051"/>
      <c r="AA30" s="1051"/>
      <c r="AB30" s="13"/>
      <c r="AC30" s="271"/>
      <c r="AD30" s="272"/>
      <c r="AE30" s="272"/>
      <c r="AF30" s="262"/>
      <c r="AG30" s="262"/>
      <c r="AH30" s="272"/>
      <c r="AI30" s="273"/>
    </row>
    <row r="31" spans="1:45" ht="16.5" customHeight="1" thickBot="1" x14ac:dyDescent="0.35">
      <c r="A31" s="1216" t="s">
        <v>121</v>
      </c>
      <c r="B31" s="1161"/>
      <c r="C31" s="1161"/>
      <c r="D31" s="1161"/>
      <c r="E31" s="1161"/>
      <c r="F31" s="1161"/>
      <c r="H31" s="1161"/>
      <c r="I31" s="1161"/>
      <c r="J31" s="1161"/>
      <c r="K31" s="1161"/>
      <c r="L31" s="1161"/>
      <c r="M31" s="1161"/>
      <c r="N31" s="1162"/>
      <c r="O31" s="299">
        <f>SUM(I28:I30)+SUM(O28:O30)</f>
        <v>0</v>
      </c>
      <c r="P31" s="425" t="s">
        <v>45</v>
      </c>
      <c r="Q31" s="1585"/>
      <c r="R31" s="1077"/>
      <c r="S31" s="866"/>
      <c r="T31" s="866"/>
      <c r="U31" s="866"/>
      <c r="V31" s="866"/>
      <c r="W31" s="866"/>
      <c r="X31" s="866"/>
      <c r="Y31" s="866"/>
      <c r="Z31" s="866"/>
      <c r="AA31" s="866"/>
      <c r="AB31" s="13"/>
      <c r="AC31" s="274" t="s">
        <v>168</v>
      </c>
      <c r="AD31" s="272" t="s">
        <v>203</v>
      </c>
      <c r="AE31" s="272" t="s">
        <v>204</v>
      </c>
      <c r="AF31" s="262"/>
      <c r="AG31" s="275" t="s">
        <v>168</v>
      </c>
      <c r="AH31" s="272" t="s">
        <v>203</v>
      </c>
      <c r="AI31" s="273" t="s">
        <v>204</v>
      </c>
      <c r="AK31" s="64" t="s">
        <v>168</v>
      </c>
    </row>
    <row r="32" spans="1:45" ht="16.5" customHeight="1" x14ac:dyDescent="0.25">
      <c r="A32" s="1187" t="s">
        <v>13</v>
      </c>
      <c r="B32" s="226"/>
      <c r="C32" s="226"/>
      <c r="D32" s="301"/>
      <c r="E32" s="340"/>
      <c r="F32" s="340"/>
      <c r="H32" s="261"/>
      <c r="I32" s="301"/>
      <c r="J32" s="261"/>
      <c r="K32" s="261"/>
      <c r="L32" s="301"/>
      <c r="M32" s="301"/>
      <c r="N32" s="301"/>
      <c r="O32" s="338"/>
      <c r="P32" s="1599"/>
      <c r="Q32" s="1585"/>
      <c r="R32" s="1077"/>
      <c r="S32" s="1051"/>
      <c r="T32" s="1051"/>
      <c r="U32" s="1051"/>
      <c r="V32" s="1051"/>
      <c r="W32" s="1051"/>
      <c r="X32" s="1051"/>
      <c r="Y32" s="1051"/>
      <c r="Z32" s="1051"/>
      <c r="AA32" s="1051"/>
      <c r="AB32" s="13"/>
      <c r="AC32" s="274" t="s">
        <v>167</v>
      </c>
      <c r="AD32" s="278"/>
      <c r="AE32" s="278"/>
      <c r="AF32" s="262"/>
      <c r="AG32" s="275" t="s">
        <v>167</v>
      </c>
      <c r="AH32" s="278"/>
      <c r="AI32" s="279"/>
      <c r="AK32" s="64"/>
    </row>
    <row r="33" spans="1:45" ht="16.5" customHeight="1" x14ac:dyDescent="0.25">
      <c r="A33" s="5"/>
      <c r="B33" s="342"/>
      <c r="C33" s="342"/>
      <c r="D33" s="301"/>
      <c r="E33" s="301"/>
      <c r="F33" s="301"/>
      <c r="H33" s="1270"/>
      <c r="I33" s="227"/>
      <c r="J33" s="261"/>
      <c r="K33" s="261"/>
      <c r="L33" s="301"/>
      <c r="M33" s="301"/>
      <c r="N33" s="301"/>
      <c r="O33" s="227"/>
      <c r="P33" s="1599"/>
      <c r="Q33" s="1585"/>
      <c r="R33" s="1077"/>
      <c r="S33" s="1051"/>
      <c r="T33" s="1051"/>
      <c r="U33" s="1051"/>
      <c r="V33" s="1051"/>
      <c r="W33" s="1051"/>
      <c r="X33" s="1051"/>
      <c r="Y33" s="1051"/>
      <c r="Z33" s="1051"/>
      <c r="AA33" s="1051"/>
      <c r="AC33" s="1463" t="s">
        <v>159</v>
      </c>
      <c r="AD33" s="1464"/>
      <c r="AE33" s="1464"/>
      <c r="AF33" s="9"/>
      <c r="AG33" s="1465" t="s">
        <v>160</v>
      </c>
      <c r="AH33" s="1465"/>
      <c r="AI33" s="1466"/>
      <c r="AK33" s="1472" t="s">
        <v>159</v>
      </c>
      <c r="AL33" s="1472"/>
      <c r="AN33" s="1473" t="s">
        <v>160</v>
      </c>
      <c r="AO33" s="1473"/>
      <c r="AQ33" s="1475" t="s">
        <v>161</v>
      </c>
      <c r="AR33" s="1475"/>
      <c r="AS33" s="1475"/>
    </row>
    <row r="34" spans="1:45" ht="16.5" customHeight="1" x14ac:dyDescent="0.25">
      <c r="A34" s="1269"/>
      <c r="B34" s="226"/>
      <c r="C34" s="226"/>
      <c r="D34" s="301"/>
      <c r="E34" s="230"/>
      <c r="F34" s="866"/>
      <c r="H34" s="1270"/>
      <c r="I34" s="227"/>
      <c r="J34" s="261"/>
      <c r="K34" s="261"/>
      <c r="L34" s="301"/>
      <c r="M34" s="301"/>
      <c r="N34" s="301"/>
      <c r="O34" s="227"/>
      <c r="P34" s="1599"/>
      <c r="Q34" s="1585"/>
      <c r="R34" s="1077"/>
      <c r="S34" s="1051"/>
      <c r="T34" s="1051"/>
      <c r="U34" s="1051"/>
      <c r="V34" s="1051"/>
      <c r="W34" s="1051"/>
      <c r="X34" s="1051"/>
      <c r="Y34" s="1051"/>
      <c r="Z34" s="1051"/>
      <c r="AA34" s="1051"/>
      <c r="AC34" s="145">
        <f>I34</f>
        <v>0</v>
      </c>
      <c r="AD34" s="837"/>
      <c r="AE34" s="495">
        <f>1-AD34</f>
        <v>1</v>
      </c>
      <c r="AF34" s="144"/>
      <c r="AG34" s="48">
        <f>O34</f>
        <v>0</v>
      </c>
      <c r="AH34" s="837"/>
      <c r="AI34" s="264">
        <f>1-AH34</f>
        <v>1</v>
      </c>
      <c r="AK34" s="4">
        <f>I34*AD34</f>
        <v>0</v>
      </c>
      <c r="AL34" s="4">
        <f>I34*AE34</f>
        <v>0</v>
      </c>
      <c r="AN34" s="4">
        <f>O34*AH34</f>
        <v>0</v>
      </c>
      <c r="AO34" s="4">
        <f>O34*AI34</f>
        <v>0</v>
      </c>
      <c r="AQ34" s="4">
        <f>AK34+AN34</f>
        <v>0</v>
      </c>
      <c r="AR34" s="4">
        <f>AL34+AO34</f>
        <v>0</v>
      </c>
      <c r="AS34" s="4">
        <f>SUM(AQ34:AR34)</f>
        <v>0</v>
      </c>
    </row>
    <row r="35" spans="1:45" ht="16.5" customHeight="1" x14ac:dyDescent="0.25">
      <c r="A35" s="1269"/>
      <c r="B35" s="226"/>
      <c r="C35" s="226"/>
      <c r="D35" s="301"/>
      <c r="E35" s="230"/>
      <c r="F35" s="866"/>
      <c r="H35" s="1270"/>
      <c r="I35" s="227"/>
      <c r="J35" s="261"/>
      <c r="K35" s="261"/>
      <c r="L35" s="301"/>
      <c r="M35" s="343"/>
      <c r="N35" s="1204" t="s">
        <v>223</v>
      </c>
      <c r="O35" s="382">
        <v>0</v>
      </c>
      <c r="P35" s="1599"/>
      <c r="Q35" s="1585"/>
      <c r="R35" s="1077"/>
      <c r="S35" s="1051"/>
      <c r="T35" s="1051"/>
      <c r="U35" s="1051"/>
      <c r="V35" s="1051"/>
      <c r="W35" s="1051"/>
      <c r="X35" s="1051"/>
      <c r="Y35" s="1051"/>
      <c r="Z35" s="1051"/>
      <c r="AA35" s="1051"/>
      <c r="AC35" s="145">
        <f>I35</f>
        <v>0</v>
      </c>
      <c r="AD35" s="837"/>
      <c r="AE35" s="495">
        <f>1-AD35</f>
        <v>1</v>
      </c>
      <c r="AF35" s="144"/>
      <c r="AG35" s="112">
        <v>0</v>
      </c>
      <c r="AH35" s="112">
        <v>0</v>
      </c>
      <c r="AI35" s="142"/>
      <c r="AK35" s="50">
        <f>I35*AD35</f>
        <v>0</v>
      </c>
      <c r="AL35" s="50">
        <f>I35*AE35</f>
        <v>0</v>
      </c>
      <c r="AM35" s="9"/>
      <c r="AN35" s="103">
        <v>0</v>
      </c>
      <c r="AO35" s="103">
        <v>0</v>
      </c>
      <c r="AQ35" s="50">
        <f>AK35+AN35</f>
        <v>0</v>
      </c>
      <c r="AR35" s="50">
        <f>AL35+AO35</f>
        <v>0</v>
      </c>
      <c r="AS35" s="50">
        <f t="shared" ref="AS35:AS36" si="21">SUM(AQ35:AR35)</f>
        <v>0</v>
      </c>
    </row>
    <row r="36" spans="1:45" ht="16.5" customHeight="1" thickBot="1" x14ac:dyDescent="0.3">
      <c r="A36" s="1216" t="s">
        <v>14</v>
      </c>
      <c r="B36" s="1161"/>
      <c r="C36" s="1161"/>
      <c r="D36" s="1161"/>
      <c r="E36" s="1161"/>
      <c r="F36" s="1161"/>
      <c r="H36" s="1161"/>
      <c r="I36" s="1161"/>
      <c r="J36" s="1161"/>
      <c r="K36" s="1161"/>
      <c r="L36" s="1161"/>
      <c r="M36" s="1161"/>
      <c r="N36" s="1167"/>
      <c r="O36" s="383">
        <f>SUM(I33:I35)+SUM(O33:O35)</f>
        <v>0</v>
      </c>
      <c r="P36" s="1599"/>
      <c r="Q36" s="1585"/>
      <c r="R36" s="1077"/>
      <c r="S36" s="1051"/>
      <c r="T36" s="1051"/>
      <c r="U36" s="1051"/>
      <c r="V36" s="1051"/>
      <c r="W36" s="1051"/>
      <c r="X36" s="1051"/>
      <c r="Y36" s="1051"/>
      <c r="Z36" s="1051"/>
      <c r="AA36" s="1051"/>
      <c r="AC36" s="492"/>
      <c r="AD36" s="272"/>
      <c r="AE36" s="272"/>
      <c r="AF36" s="493"/>
      <c r="AG36" s="493"/>
      <c r="AH36" s="272"/>
      <c r="AI36" s="273"/>
      <c r="AK36" s="4">
        <f>SUM(AK34:AK35)</f>
        <v>0</v>
      </c>
      <c r="AL36" s="4">
        <f t="shared" ref="AL36:AO36" si="22">SUM(AL34:AL35)</f>
        <v>0</v>
      </c>
      <c r="AM36" s="4"/>
      <c r="AN36" s="4">
        <f t="shared" si="22"/>
        <v>0</v>
      </c>
      <c r="AO36" s="4">
        <f t="shared" si="22"/>
        <v>0</v>
      </c>
      <c r="AQ36" s="4">
        <f>SUM(AQ34:AQ35)</f>
        <v>0</v>
      </c>
      <c r="AR36" s="4">
        <f>SUM(AR34:AR35)</f>
        <v>0</v>
      </c>
      <c r="AS36" s="121">
        <f t="shared" si="21"/>
        <v>0</v>
      </c>
    </row>
    <row r="37" spans="1:45" ht="16.5" customHeight="1" x14ac:dyDescent="0.25">
      <c r="A37" s="1194" t="s">
        <v>10</v>
      </c>
      <c r="B37" s="226"/>
      <c r="C37" s="226"/>
      <c r="D37" s="301"/>
      <c r="E37" s="301"/>
      <c r="F37" s="301"/>
      <c r="H37" s="261"/>
      <c r="I37" s="301"/>
      <c r="J37" s="261"/>
      <c r="K37" s="261"/>
      <c r="L37" s="301"/>
      <c r="M37" s="301"/>
      <c r="N37" s="301"/>
      <c r="O37" s="338"/>
      <c r="P37" s="1599"/>
      <c r="Q37" s="1585"/>
      <c r="R37" s="1077"/>
      <c r="S37" s="1051"/>
      <c r="T37" s="1051"/>
      <c r="U37" s="1051"/>
      <c r="V37" s="1051"/>
      <c r="W37" s="1051"/>
      <c r="X37" s="1051"/>
      <c r="Y37" s="1051"/>
      <c r="Z37" s="1051"/>
      <c r="AA37" s="1051"/>
      <c r="AC37" s="494" t="s">
        <v>169</v>
      </c>
      <c r="AD37" s="272" t="s">
        <v>203</v>
      </c>
      <c r="AE37" s="272" t="s">
        <v>204</v>
      </c>
      <c r="AF37" s="493"/>
      <c r="AG37" s="236" t="s">
        <v>169</v>
      </c>
      <c r="AH37" s="272" t="s">
        <v>203</v>
      </c>
      <c r="AI37" s="273" t="s">
        <v>204</v>
      </c>
      <c r="AK37" s="10" t="s">
        <v>169</v>
      </c>
      <c r="AQ37" s="126"/>
      <c r="AR37" s="121"/>
    </row>
    <row r="38" spans="1:45" ht="16.5" customHeight="1" x14ac:dyDescent="0.25">
      <c r="A38" s="642"/>
      <c r="B38" s="342"/>
      <c r="C38" s="342"/>
      <c r="D38" s="301"/>
      <c r="E38" s="301"/>
      <c r="F38" s="301"/>
      <c r="H38" s="1270"/>
      <c r="I38" s="227"/>
      <c r="J38" s="261"/>
      <c r="K38" s="261"/>
      <c r="L38" s="301"/>
      <c r="M38" s="301"/>
      <c r="N38" s="301"/>
      <c r="O38" s="227"/>
      <c r="P38" s="1599"/>
      <c r="Q38" s="1585"/>
      <c r="R38" s="1077"/>
      <c r="S38" s="1051"/>
      <c r="T38" s="1051"/>
      <c r="U38" s="1051"/>
      <c r="V38" s="1051"/>
      <c r="W38" s="1051"/>
      <c r="X38" s="1051"/>
      <c r="Y38" s="1051"/>
      <c r="Z38" s="1051"/>
      <c r="AA38" s="1051"/>
      <c r="AC38" s="494" t="s">
        <v>167</v>
      </c>
      <c r="AD38" s="278"/>
      <c r="AE38" s="278"/>
      <c r="AF38" s="493"/>
      <c r="AG38" s="236" t="s">
        <v>167</v>
      </c>
      <c r="AH38" s="278"/>
      <c r="AI38" s="279"/>
      <c r="AK38" s="10"/>
    </row>
    <row r="39" spans="1:45" ht="16.5" customHeight="1" x14ac:dyDescent="0.25">
      <c r="A39" s="1269"/>
      <c r="B39" s="226"/>
      <c r="C39" s="226"/>
      <c r="D39" s="301"/>
      <c r="E39" s="230"/>
      <c r="F39" s="866"/>
      <c r="H39" s="1270"/>
      <c r="I39" s="227"/>
      <c r="J39" s="261"/>
      <c r="K39" s="261"/>
      <c r="L39" s="301"/>
      <c r="M39" s="301"/>
      <c r="N39" s="301"/>
      <c r="O39" s="227"/>
      <c r="P39" s="1599"/>
      <c r="Q39" s="1585"/>
      <c r="R39" s="1077"/>
      <c r="S39" s="1051"/>
      <c r="T39" s="1051"/>
      <c r="U39" s="1051"/>
      <c r="V39" s="1051"/>
      <c r="W39" s="1051"/>
      <c r="X39" s="1051"/>
      <c r="Y39" s="1051"/>
      <c r="Z39" s="1051"/>
      <c r="AA39" s="1051"/>
      <c r="AC39" s="145">
        <f>I39</f>
        <v>0</v>
      </c>
      <c r="AD39" s="837"/>
      <c r="AE39" s="495">
        <f>1-AD39</f>
        <v>1</v>
      </c>
      <c r="AF39" s="144"/>
      <c r="AG39" s="48">
        <f>O39</f>
        <v>0</v>
      </c>
      <c r="AH39" s="837"/>
      <c r="AI39" s="142">
        <f>1-AH39</f>
        <v>1</v>
      </c>
      <c r="AK39" s="4">
        <f>I39*AD39</f>
        <v>0</v>
      </c>
      <c r="AL39" s="4">
        <f>I39*AE39</f>
        <v>0</v>
      </c>
      <c r="AN39" s="4">
        <f>O39*AH39</f>
        <v>0</v>
      </c>
      <c r="AO39" s="4">
        <f>O39*AI39</f>
        <v>0</v>
      </c>
      <c r="AQ39" s="4">
        <f>AK39+AN39</f>
        <v>0</v>
      </c>
      <c r="AR39" s="4">
        <f>AL39+AO39</f>
        <v>0</v>
      </c>
      <c r="AS39" s="4">
        <f>SUM(AQ39:AR39)</f>
        <v>0</v>
      </c>
    </row>
    <row r="40" spans="1:45" ht="16.5" customHeight="1" x14ac:dyDescent="0.25">
      <c r="A40" s="1269"/>
      <c r="B40" s="226"/>
      <c r="C40" s="226"/>
      <c r="D40" s="301"/>
      <c r="E40" s="230"/>
      <c r="F40" s="866"/>
      <c r="H40" s="1270"/>
      <c r="I40" s="227"/>
      <c r="J40" s="261"/>
      <c r="K40" s="261"/>
      <c r="L40" s="301"/>
      <c r="M40" s="301"/>
      <c r="N40" s="301"/>
      <c r="O40" s="227"/>
      <c r="P40" s="1599"/>
      <c r="Q40" s="1585"/>
      <c r="R40" s="1077"/>
      <c r="S40" s="1051"/>
      <c r="T40" s="1051"/>
      <c r="U40" s="1051"/>
      <c r="V40" s="1051"/>
      <c r="W40" s="1051"/>
      <c r="X40" s="1051"/>
      <c r="Y40" s="1051"/>
      <c r="Z40" s="1051"/>
      <c r="AA40" s="1051"/>
      <c r="AC40" s="145">
        <f>I40</f>
        <v>0</v>
      </c>
      <c r="AD40" s="837"/>
      <c r="AE40" s="495">
        <f t="shared" ref="AE40:AE41" si="23">1-AD40</f>
        <v>1</v>
      </c>
      <c r="AF40" s="144"/>
      <c r="AG40" s="48">
        <f>O40</f>
        <v>0</v>
      </c>
      <c r="AH40" s="837"/>
      <c r="AI40" s="142">
        <f>1-AH40</f>
        <v>1</v>
      </c>
      <c r="AK40" s="48">
        <f>I40*AD40</f>
        <v>0</v>
      </c>
      <c r="AL40" s="48">
        <f>I40*AE40</f>
        <v>0</v>
      </c>
      <c r="AM40" s="9"/>
      <c r="AN40" s="4">
        <f>O40*AH40</f>
        <v>0</v>
      </c>
      <c r="AO40" s="4">
        <f>O40*AI40</f>
        <v>0</v>
      </c>
      <c r="AP40" s="9"/>
      <c r="AQ40" s="4">
        <f t="shared" ref="AQ40:AR41" si="24">AK40+AN40</f>
        <v>0</v>
      </c>
      <c r="AR40" s="4">
        <f t="shared" si="24"/>
        <v>0</v>
      </c>
      <c r="AS40" s="4">
        <f t="shared" ref="AS40:AS42" si="25">SUM(AQ40:AR40)</f>
        <v>0</v>
      </c>
    </row>
    <row r="41" spans="1:45" ht="16.5" customHeight="1" x14ac:dyDescent="0.25">
      <c r="A41" s="1269"/>
      <c r="B41" s="226"/>
      <c r="C41" s="226"/>
      <c r="D41" s="301"/>
      <c r="E41" s="230"/>
      <c r="F41" s="866"/>
      <c r="H41" s="1270"/>
      <c r="I41" s="227"/>
      <c r="J41" s="261"/>
      <c r="K41" s="261"/>
      <c r="L41" s="301"/>
      <c r="M41" s="345"/>
      <c r="N41" s="1204" t="s">
        <v>260</v>
      </c>
      <c r="O41" s="382">
        <v>0</v>
      </c>
      <c r="P41" s="1599"/>
      <c r="Q41" s="1585"/>
      <c r="R41" s="1077"/>
      <c r="S41" s="1051"/>
      <c r="T41" s="1051"/>
      <c r="U41" s="1051"/>
      <c r="V41" s="1051"/>
      <c r="W41" s="1051"/>
      <c r="X41" s="1051"/>
      <c r="Y41" s="1051"/>
      <c r="Z41" s="1051"/>
      <c r="AA41" s="1051"/>
      <c r="AC41" s="145">
        <f>I41</f>
        <v>0</v>
      </c>
      <c r="AD41" s="837"/>
      <c r="AE41" s="495">
        <f t="shared" si="23"/>
        <v>1</v>
      </c>
      <c r="AF41" s="144"/>
      <c r="AG41" s="263">
        <v>0</v>
      </c>
      <c r="AH41" s="263">
        <v>0</v>
      </c>
      <c r="AI41" s="142"/>
      <c r="AK41" s="50">
        <f>I41*AD41</f>
        <v>0</v>
      </c>
      <c r="AL41" s="50">
        <f>I41*AE41</f>
        <v>0</v>
      </c>
      <c r="AN41" s="103">
        <v>0</v>
      </c>
      <c r="AO41" s="103">
        <v>0</v>
      </c>
      <c r="AP41" s="9"/>
      <c r="AQ41" s="50">
        <f t="shared" si="24"/>
        <v>0</v>
      </c>
      <c r="AR41" s="50">
        <f t="shared" si="24"/>
        <v>0</v>
      </c>
      <c r="AS41" s="50">
        <f t="shared" si="25"/>
        <v>0</v>
      </c>
    </row>
    <row r="42" spans="1:45" ht="16.5" customHeight="1" thickBot="1" x14ac:dyDescent="0.3">
      <c r="A42" s="1216" t="s">
        <v>12</v>
      </c>
      <c r="B42" s="1161"/>
      <c r="C42" s="1161"/>
      <c r="D42" s="1161"/>
      <c r="E42" s="1161"/>
      <c r="F42" s="1161"/>
      <c r="H42" s="1161"/>
      <c r="I42" s="1161"/>
      <c r="J42" s="1161"/>
      <c r="K42" s="1161"/>
      <c r="L42" s="1161"/>
      <c r="M42" s="1161"/>
      <c r="N42" s="1167"/>
      <c r="O42" s="384">
        <f>SUM(I38:I41)+SUM(O38:O41)</f>
        <v>0</v>
      </c>
      <c r="P42" s="1599"/>
      <c r="Q42" s="1585"/>
      <c r="R42" s="1077"/>
      <c r="S42" s="1051"/>
      <c r="T42" s="1051"/>
      <c r="U42" s="1051"/>
      <c r="V42" s="1051"/>
      <c r="W42" s="1051"/>
      <c r="X42" s="1051"/>
      <c r="Y42" s="1051"/>
      <c r="Z42" s="1051"/>
      <c r="AA42" s="1051"/>
      <c r="AC42" s="146"/>
      <c r="AD42" s="272"/>
      <c r="AE42" s="124"/>
      <c r="AF42" s="144"/>
      <c r="AG42" s="144"/>
      <c r="AH42" s="124"/>
      <c r="AI42" s="142"/>
      <c r="AK42" s="4">
        <f t="shared" ref="AK42:AO42" si="26">SUM(AK39:AK41)</f>
        <v>0</v>
      </c>
      <c r="AL42" s="4">
        <f t="shared" si="26"/>
        <v>0</v>
      </c>
      <c r="AM42" s="4"/>
      <c r="AN42" s="4">
        <f t="shared" si="26"/>
        <v>0</v>
      </c>
      <c r="AO42" s="4">
        <f t="shared" si="26"/>
        <v>0</v>
      </c>
      <c r="AP42" s="4"/>
      <c r="AQ42" s="4">
        <f>SUM(AQ39:AQ41)</f>
        <v>0</v>
      </c>
      <c r="AR42" s="4">
        <f>SUM(AR39:AR41)</f>
        <v>0</v>
      </c>
      <c r="AS42" s="121">
        <f t="shared" si="25"/>
        <v>0</v>
      </c>
    </row>
    <row r="43" spans="1:45" ht="16.5" customHeight="1" x14ac:dyDescent="0.25">
      <c r="A43" s="1187" t="s">
        <v>15</v>
      </c>
      <c r="B43" s="342"/>
      <c r="C43" s="342"/>
      <c r="D43" s="301"/>
      <c r="E43" s="230"/>
      <c r="F43" s="866"/>
      <c r="H43" s="261"/>
      <c r="I43" s="301"/>
      <c r="J43" s="261"/>
      <c r="K43" s="261"/>
      <c r="L43" s="301"/>
      <c r="M43" s="301"/>
      <c r="N43" s="301"/>
      <c r="O43" s="301"/>
      <c r="P43" s="1599"/>
      <c r="Q43" s="1585"/>
      <c r="R43" s="1077"/>
      <c r="S43" s="1051"/>
      <c r="T43" s="1051"/>
      <c r="U43" s="1051"/>
      <c r="V43" s="1051"/>
      <c r="W43" s="1051"/>
      <c r="X43" s="1051"/>
      <c r="Y43" s="1051"/>
      <c r="Z43" s="1051"/>
      <c r="AA43" s="1051"/>
      <c r="AC43" s="116" t="s">
        <v>167</v>
      </c>
      <c r="AD43" s="278"/>
      <c r="AE43" s="100"/>
      <c r="AF43" s="144"/>
      <c r="AG43" s="10" t="s">
        <v>167</v>
      </c>
      <c r="AH43" s="100"/>
      <c r="AI43" s="143"/>
    </row>
    <row r="44" spans="1:45" ht="16.5" customHeight="1" x14ac:dyDescent="0.25">
      <c r="A44" s="225"/>
      <c r="B44" s="226"/>
      <c r="C44" s="226"/>
      <c r="D44" s="301"/>
      <c r="E44" s="230"/>
      <c r="F44" s="866"/>
      <c r="H44" s="1270"/>
      <c r="I44" s="227"/>
      <c r="J44" s="261"/>
      <c r="K44" s="261"/>
      <c r="L44" s="301"/>
      <c r="M44" s="301"/>
      <c r="N44" s="301"/>
      <c r="O44" s="227"/>
      <c r="P44" s="1599"/>
      <c r="Q44" s="1585"/>
      <c r="R44" s="1077"/>
      <c r="S44" s="1051"/>
      <c r="T44" s="1051"/>
      <c r="U44" s="1051"/>
      <c r="V44" s="1051"/>
      <c r="W44" s="1051"/>
      <c r="X44" s="1051"/>
      <c r="Y44" s="1051"/>
      <c r="Z44" s="1051"/>
      <c r="AA44" s="1051"/>
      <c r="AC44" s="145">
        <f>I44</f>
        <v>0</v>
      </c>
      <c r="AD44" s="837"/>
      <c r="AE44" s="124">
        <f>1-AD44</f>
        <v>1</v>
      </c>
      <c r="AF44" s="144"/>
      <c r="AG44" s="48">
        <f>O44</f>
        <v>0</v>
      </c>
      <c r="AH44" s="837"/>
      <c r="AI44" s="142">
        <f>1-AH44</f>
        <v>1</v>
      </c>
      <c r="AK44" s="4">
        <f>I44*AD44</f>
        <v>0</v>
      </c>
      <c r="AL44" s="4">
        <f>I44*AE44</f>
        <v>0</v>
      </c>
      <c r="AN44" s="4">
        <f>O44*AH44</f>
        <v>0</v>
      </c>
      <c r="AO44" s="4">
        <f>O44*AI44</f>
        <v>0</v>
      </c>
      <c r="AQ44" s="4">
        <f>AK44+AN44</f>
        <v>0</v>
      </c>
      <c r="AR44" s="4">
        <f>AL44+AO44</f>
        <v>0</v>
      </c>
      <c r="AS44" s="4">
        <f>SUM(AQ44:AR44)</f>
        <v>0</v>
      </c>
    </row>
    <row r="45" spans="1:45" ht="16.5" customHeight="1" x14ac:dyDescent="0.25">
      <c r="A45" s="225"/>
      <c r="B45" s="226"/>
      <c r="C45" s="226"/>
      <c r="D45" s="301"/>
      <c r="E45" s="230"/>
      <c r="F45" s="866"/>
      <c r="H45" s="1270"/>
      <c r="I45" s="227"/>
      <c r="J45" s="261"/>
      <c r="K45" s="261"/>
      <c r="L45" s="301"/>
      <c r="M45" s="345"/>
      <c r="N45" s="1204" t="s">
        <v>261</v>
      </c>
      <c r="O45" s="382">
        <v>0</v>
      </c>
      <c r="P45" s="1599"/>
      <c r="Q45" s="1585"/>
      <c r="R45" s="1077"/>
      <c r="S45" s="1051"/>
      <c r="T45" s="1051"/>
      <c r="U45" s="1051"/>
      <c r="V45" s="1051"/>
      <c r="W45" s="1051"/>
      <c r="X45" s="1051"/>
      <c r="Y45" s="1051"/>
      <c r="Z45" s="1051"/>
      <c r="AA45" s="1051"/>
      <c r="AC45" s="145">
        <f>I45</f>
        <v>0</v>
      </c>
      <c r="AD45" s="837"/>
      <c r="AE45" s="124">
        <f>1-AD45</f>
        <v>1</v>
      </c>
      <c r="AF45" s="144"/>
      <c r="AG45" s="263">
        <v>0</v>
      </c>
      <c r="AH45" s="263">
        <v>0</v>
      </c>
      <c r="AI45" s="142"/>
      <c r="AK45" s="50">
        <f>I45*AD45</f>
        <v>0</v>
      </c>
      <c r="AL45" s="50">
        <f>I45*AE45</f>
        <v>0</v>
      </c>
      <c r="AN45" s="103">
        <v>0</v>
      </c>
      <c r="AO45" s="103">
        <v>0</v>
      </c>
      <c r="AQ45" s="50">
        <f>AK45+AN45</f>
        <v>0</v>
      </c>
      <c r="AR45" s="50">
        <f>AL45+AO45</f>
        <v>0</v>
      </c>
      <c r="AS45" s="50">
        <f>SUM(AQ45:AR45)</f>
        <v>0</v>
      </c>
    </row>
    <row r="46" spans="1:45" ht="16.5" customHeight="1" thickBot="1" x14ac:dyDescent="0.3">
      <c r="A46" s="1202" t="s">
        <v>16</v>
      </c>
      <c r="B46" s="1142"/>
      <c r="C46" s="1142"/>
      <c r="D46" s="421"/>
      <c r="E46" s="421"/>
      <c r="F46" s="421"/>
      <c r="H46" s="1160"/>
      <c r="I46" s="421"/>
      <c r="J46" s="1160"/>
      <c r="K46" s="1160"/>
      <c r="L46" s="421"/>
      <c r="M46" s="421"/>
      <c r="N46" s="1168"/>
      <c r="O46" s="383">
        <f>SUM(I44:I45)+ SUM(O44:O45)</f>
        <v>0</v>
      </c>
      <c r="P46" s="1599"/>
      <c r="Q46" s="1585"/>
      <c r="R46" s="1077"/>
      <c r="S46" s="1051"/>
      <c r="T46" s="1051"/>
      <c r="U46" s="1051"/>
      <c r="V46" s="1051"/>
      <c r="W46" s="1051"/>
      <c r="X46" s="1051"/>
      <c r="Y46" s="1051"/>
      <c r="Z46" s="1051"/>
      <c r="AA46" s="1051"/>
      <c r="AC46" s="492"/>
      <c r="AD46" s="272"/>
      <c r="AE46" s="272"/>
      <c r="AF46" s="493"/>
      <c r="AG46" s="493"/>
      <c r="AH46" s="272"/>
      <c r="AI46" s="273"/>
      <c r="AK46" s="4">
        <f>SUM(AK44:AK45)</f>
        <v>0</v>
      </c>
      <c r="AL46" s="4">
        <f>SUM(AL44:AL45)</f>
        <v>0</v>
      </c>
      <c r="AN46" s="4">
        <f>AN44+AN45</f>
        <v>0</v>
      </c>
      <c r="AO46" s="4">
        <f>AO44+AO45</f>
        <v>0</v>
      </c>
      <c r="AQ46" s="4">
        <f>SUM(AQ44:AQ45)</f>
        <v>0</v>
      </c>
      <c r="AR46" s="4">
        <f>SUM(AR44:AR45)</f>
        <v>0</v>
      </c>
      <c r="AS46" s="121">
        <f>SUM(AQ46:AR46)</f>
        <v>0</v>
      </c>
    </row>
    <row r="47" spans="1:45" ht="16.5" customHeight="1" x14ac:dyDescent="0.25">
      <c r="A47" s="1194" t="s">
        <v>29</v>
      </c>
      <c r="B47" s="226"/>
      <c r="C47" s="226"/>
      <c r="D47" s="301"/>
      <c r="E47" s="301"/>
      <c r="F47" s="301"/>
      <c r="H47" s="261"/>
      <c r="I47" s="301"/>
      <c r="J47" s="261"/>
      <c r="K47" s="261"/>
      <c r="L47" s="301"/>
      <c r="M47" s="301"/>
      <c r="N47" s="301"/>
      <c r="O47" s="338"/>
      <c r="P47" s="1599"/>
      <c r="Q47" s="1585"/>
      <c r="R47" s="1077"/>
      <c r="S47" s="1051"/>
      <c r="T47" s="1051"/>
      <c r="U47" s="1051"/>
      <c r="V47" s="1051"/>
      <c r="W47" s="1051"/>
      <c r="X47" s="1051"/>
      <c r="Y47" s="1051"/>
      <c r="Z47" s="1051"/>
      <c r="AA47" s="1051"/>
      <c r="AC47" s="492"/>
      <c r="AD47" s="272"/>
      <c r="AE47" s="272"/>
      <c r="AF47" s="493"/>
      <c r="AG47" s="493"/>
      <c r="AH47" s="272"/>
      <c r="AI47" s="273"/>
      <c r="AQ47" s="126"/>
      <c r="AR47" s="121"/>
    </row>
    <row r="48" spans="1:45" ht="16.5" customHeight="1" x14ac:dyDescent="0.25">
      <c r="A48" s="305"/>
      <c r="B48" s="359"/>
      <c r="C48" s="359"/>
      <c r="D48" s="301"/>
      <c r="E48" s="301"/>
      <c r="F48" s="301"/>
      <c r="H48" s="1270"/>
      <c r="I48" s="227"/>
      <c r="J48" s="261"/>
      <c r="K48" s="261"/>
      <c r="L48" s="349"/>
      <c r="M48" s="301"/>
      <c r="N48" s="301"/>
      <c r="O48" s="385"/>
      <c r="P48" s="1599"/>
      <c r="Q48" s="1585"/>
      <c r="R48" s="1077"/>
      <c r="S48" s="1051"/>
      <c r="T48" s="1051"/>
      <c r="U48" s="1051"/>
      <c r="V48" s="1051"/>
      <c r="W48" s="1051"/>
      <c r="X48" s="1051"/>
      <c r="Y48" s="1051"/>
      <c r="Z48" s="1051"/>
      <c r="AA48" s="1051"/>
      <c r="AC48" s="492"/>
      <c r="AD48" s="272"/>
      <c r="AE48" s="272"/>
      <c r="AF48" s="493"/>
      <c r="AG48" s="493"/>
      <c r="AH48" s="272"/>
      <c r="AI48" s="273"/>
    </row>
    <row r="49" spans="1:45" ht="16.5" customHeight="1" x14ac:dyDescent="0.25">
      <c r="A49" s="225"/>
      <c r="B49" s="348"/>
      <c r="C49" s="348"/>
      <c r="D49" s="349"/>
      <c r="E49" s="350"/>
      <c r="F49" s="350"/>
      <c r="H49" s="1270"/>
      <c r="I49" s="227"/>
      <c r="J49" s="261"/>
      <c r="K49" s="261"/>
      <c r="L49" s="349"/>
      <c r="M49" s="301"/>
      <c r="N49" s="301"/>
      <c r="O49" s="385"/>
      <c r="P49" s="1599"/>
      <c r="Q49" s="1585"/>
      <c r="R49" s="1077"/>
      <c r="S49" s="1052"/>
      <c r="T49" s="1052"/>
      <c r="U49" s="1052"/>
      <c r="V49" s="1052"/>
      <c r="W49" s="1052"/>
      <c r="X49" s="1052"/>
      <c r="Y49" s="1052"/>
      <c r="Z49" s="1052"/>
      <c r="AA49" s="1052"/>
      <c r="AB49" s="63"/>
      <c r="AC49" s="271"/>
      <c r="AD49" s="259"/>
      <c r="AE49" s="259"/>
      <c r="AF49" s="496"/>
      <c r="AG49" s="496"/>
      <c r="AH49" s="259"/>
      <c r="AI49" s="497"/>
    </row>
    <row r="50" spans="1:45" ht="16.5" customHeight="1" x14ac:dyDescent="0.25">
      <c r="A50" s="225"/>
      <c r="B50" s="348"/>
      <c r="C50" s="348"/>
      <c r="D50" s="349"/>
      <c r="E50" s="350"/>
      <c r="F50" s="350"/>
      <c r="H50" s="1270"/>
      <c r="I50" s="227"/>
      <c r="J50" s="261"/>
      <c r="K50" s="261"/>
      <c r="L50" s="349"/>
      <c r="M50" s="1205"/>
      <c r="N50" s="1204" t="s">
        <v>262</v>
      </c>
      <c r="O50" s="382">
        <v>0</v>
      </c>
      <c r="P50" s="1599"/>
      <c r="Q50" s="1585"/>
      <c r="R50" s="1077"/>
      <c r="S50" s="1052"/>
      <c r="T50" s="1052"/>
      <c r="U50" s="1052"/>
      <c r="V50" s="1052"/>
      <c r="W50" s="1052"/>
      <c r="X50" s="1052"/>
      <c r="Y50" s="1052"/>
      <c r="Z50" s="1052"/>
      <c r="AA50" s="1052"/>
      <c r="AB50" s="63"/>
      <c r="AC50" s="271"/>
      <c r="AD50" s="259"/>
      <c r="AE50" s="259"/>
      <c r="AF50" s="496"/>
      <c r="AG50" s="496"/>
      <c r="AH50" s="272" t="s">
        <v>203</v>
      </c>
      <c r="AI50" s="273" t="s">
        <v>204</v>
      </c>
    </row>
    <row r="51" spans="1:45" ht="16.5" customHeight="1" thickBot="1" x14ac:dyDescent="0.3">
      <c r="A51" s="942" t="s">
        <v>30</v>
      </c>
      <c r="B51" s="1161"/>
      <c r="C51" s="1161"/>
      <c r="D51" s="1161"/>
      <c r="E51" s="1161"/>
      <c r="F51" s="1161"/>
      <c r="G51" s="1161"/>
      <c r="H51" s="1161"/>
      <c r="I51" s="1161"/>
      <c r="J51" s="1161"/>
      <c r="K51" s="1161"/>
      <c r="L51" s="1161"/>
      <c r="M51" s="1161"/>
      <c r="N51" s="1167"/>
      <c r="O51" s="386">
        <f>SUM(I48:I50)+SUM(O48:O50)</f>
        <v>0</v>
      </c>
      <c r="P51" s="1067" t="s">
        <v>45</v>
      </c>
      <c r="Q51" s="1585"/>
      <c r="R51" s="1077"/>
      <c r="S51" s="866"/>
      <c r="T51" s="866"/>
      <c r="U51" s="866"/>
      <c r="V51" s="866"/>
      <c r="W51" s="866"/>
      <c r="X51" s="866"/>
      <c r="Y51" s="866"/>
      <c r="Z51" s="866"/>
      <c r="AA51" s="866"/>
      <c r="AC51" s="271"/>
      <c r="AD51" s="276"/>
      <c r="AE51" s="276"/>
      <c r="AF51" s="262"/>
      <c r="AG51" s="262"/>
      <c r="AH51" s="278"/>
      <c r="AI51" s="279"/>
    </row>
    <row r="52" spans="1:45" ht="16.5" customHeight="1" x14ac:dyDescent="0.25">
      <c r="A52" s="1194" t="s">
        <v>68</v>
      </c>
      <c r="B52" s="1063"/>
      <c r="C52" s="1063"/>
      <c r="D52" s="1064"/>
      <c r="E52" s="1064"/>
      <c r="F52" s="1064"/>
      <c r="G52" s="1064"/>
      <c r="H52" s="1064"/>
      <c r="I52" s="1064"/>
      <c r="J52" s="1064"/>
      <c r="K52" s="1064"/>
      <c r="L52" s="1062"/>
      <c r="M52" s="1215" t="s">
        <v>72</v>
      </c>
      <c r="N52" s="1215" t="s">
        <v>73</v>
      </c>
      <c r="O52" s="338"/>
      <c r="P52" s="1599"/>
      <c r="Q52" s="1585"/>
      <c r="R52" s="1077"/>
      <c r="S52" s="1051"/>
      <c r="T52" s="1051"/>
      <c r="U52" s="1051"/>
      <c r="V52" s="1051"/>
      <c r="W52" s="1051"/>
      <c r="X52" s="1051"/>
      <c r="Y52" s="1051"/>
      <c r="Z52" s="1051"/>
      <c r="AA52" s="866"/>
      <c r="AC52" s="1467"/>
      <c r="AD52" s="1468"/>
      <c r="AE52" s="498"/>
      <c r="AF52" s="262"/>
      <c r="AG52" s="1465" t="s">
        <v>160</v>
      </c>
      <c r="AH52" s="1465"/>
      <c r="AI52" s="1466"/>
    </row>
    <row r="53" spans="1:45" ht="16.5" customHeight="1" x14ac:dyDescent="0.25">
      <c r="A53" s="642"/>
      <c r="B53" s="1"/>
      <c r="C53" s="867"/>
      <c r="M53" s="352"/>
      <c r="N53" s="352"/>
      <c r="O53" s="513">
        <f t="shared" ref="O53:O58" si="27">M53+N53</f>
        <v>0</v>
      </c>
      <c r="P53" s="1599"/>
      <c r="Q53" s="1585"/>
      <c r="R53" s="1077"/>
      <c r="S53" s="1051"/>
      <c r="T53" s="1051"/>
      <c r="U53" s="1051"/>
      <c r="V53" s="1051"/>
      <c r="W53" s="1051"/>
      <c r="X53" s="1051"/>
      <c r="Y53" s="1051"/>
      <c r="Z53" s="1051"/>
      <c r="AA53" s="866"/>
      <c r="AC53" s="271"/>
      <c r="AD53" s="259"/>
      <c r="AE53" s="259"/>
      <c r="AF53" s="493"/>
      <c r="AG53" s="493"/>
      <c r="AH53" s="499" t="s">
        <v>171</v>
      </c>
      <c r="AI53" s="500"/>
      <c r="AJ53" s="49"/>
      <c r="AL53" s="49"/>
      <c r="AN53" s="140" t="s">
        <v>171</v>
      </c>
      <c r="AO53" s="49"/>
      <c r="AQ53" s="49"/>
      <c r="AR53" s="49"/>
      <c r="AS53" s="49"/>
    </row>
    <row r="54" spans="1:45" ht="16.5" customHeight="1" x14ac:dyDescent="0.25">
      <c r="A54" s="1269"/>
      <c r="B54" s="226"/>
      <c r="C54" s="226"/>
      <c r="D54" s="301"/>
      <c r="E54" s="301"/>
      <c r="F54" s="301"/>
      <c r="G54" s="301"/>
      <c r="H54" s="301"/>
      <c r="I54" s="301"/>
      <c r="J54" s="301"/>
      <c r="K54" s="301"/>
      <c r="L54" s="262"/>
      <c r="M54" s="352"/>
      <c r="N54" s="352"/>
      <c r="O54" s="513">
        <f t="shared" si="27"/>
        <v>0</v>
      </c>
      <c r="P54" s="1599"/>
      <c r="Q54" s="1585"/>
      <c r="R54" s="1077"/>
      <c r="S54" s="1051"/>
      <c r="T54" s="1051"/>
      <c r="U54" s="1051"/>
      <c r="V54" s="1051"/>
      <c r="W54" s="1051"/>
      <c r="X54" s="1051"/>
      <c r="Y54" s="1051"/>
      <c r="Z54" s="1051"/>
      <c r="AA54" s="866"/>
      <c r="AC54" s="492"/>
      <c r="AD54" s="272"/>
      <c r="AE54" s="259"/>
      <c r="AF54" s="493"/>
      <c r="AG54" s="137">
        <f>O175</f>
        <v>0</v>
      </c>
      <c r="AH54" s="837"/>
      <c r="AI54" s="142">
        <f>1-AH54</f>
        <v>1</v>
      </c>
      <c r="AK54" s="4"/>
      <c r="AL54" s="4"/>
      <c r="AN54" s="4">
        <f>O175*AH54</f>
        <v>0</v>
      </c>
      <c r="AO54" s="4">
        <f>O175*AI54</f>
        <v>0</v>
      </c>
      <c r="AQ54" s="4">
        <f>AK54+AN54</f>
        <v>0</v>
      </c>
      <c r="AR54" s="4">
        <f>AL54+AO54</f>
        <v>0</v>
      </c>
      <c r="AS54" s="121">
        <f>AQ54+AR54</f>
        <v>0</v>
      </c>
    </row>
    <row r="55" spans="1:45" ht="16.5" customHeight="1" x14ac:dyDescent="0.25">
      <c r="A55" s="1269"/>
      <c r="B55" s="226"/>
      <c r="C55" s="226"/>
      <c r="D55" s="301"/>
      <c r="E55" s="301"/>
      <c r="F55" s="301"/>
      <c r="G55" s="301"/>
      <c r="H55" s="301"/>
      <c r="I55" s="301"/>
      <c r="J55" s="301"/>
      <c r="K55" s="301"/>
      <c r="L55" s="262"/>
      <c r="M55" s="352"/>
      <c r="N55" s="352"/>
      <c r="O55" s="513">
        <f t="shared" si="27"/>
        <v>0</v>
      </c>
      <c r="P55" s="1599"/>
      <c r="Q55" s="1585"/>
      <c r="R55" s="1077"/>
      <c r="S55" s="1051"/>
      <c r="T55" s="1051"/>
      <c r="U55" s="1051"/>
      <c r="V55" s="1051"/>
      <c r="W55" s="1051"/>
      <c r="X55" s="1051"/>
      <c r="Y55" s="1051"/>
      <c r="Z55" s="1051"/>
      <c r="AA55" s="866"/>
      <c r="AC55" s="492"/>
      <c r="AD55" s="272"/>
      <c r="AE55" s="259"/>
      <c r="AF55" s="493"/>
      <c r="AG55" s="113"/>
      <c r="AH55" s="259"/>
      <c r="AI55" s="142"/>
    </row>
    <row r="56" spans="1:45" ht="16.5" customHeight="1" x14ac:dyDescent="0.25">
      <c r="A56" s="1269"/>
      <c r="B56" s="226"/>
      <c r="C56" s="226"/>
      <c r="D56" s="301"/>
      <c r="E56" s="301"/>
      <c r="F56" s="301"/>
      <c r="G56" s="301"/>
      <c r="H56" s="301"/>
      <c r="I56" s="301"/>
      <c r="J56" s="301"/>
      <c r="K56" s="301"/>
      <c r="L56" s="262"/>
      <c r="M56" s="352"/>
      <c r="N56" s="352"/>
      <c r="O56" s="513">
        <f t="shared" si="27"/>
        <v>0</v>
      </c>
      <c r="P56" s="1599"/>
      <c r="Q56" s="1585"/>
      <c r="R56" s="1077"/>
      <c r="S56" s="1051"/>
      <c r="T56" s="1051"/>
      <c r="U56" s="1051"/>
      <c r="V56" s="1051"/>
      <c r="W56" s="1051"/>
      <c r="X56" s="1051"/>
      <c r="Y56" s="1051"/>
      <c r="Z56" s="1051"/>
      <c r="AA56" s="866"/>
      <c r="AC56" s="492"/>
      <c r="AD56" s="272"/>
      <c r="AE56" s="259"/>
      <c r="AF56" s="493"/>
      <c r="AG56" s="259"/>
      <c r="AH56" s="272"/>
      <c r="AI56" s="273"/>
    </row>
    <row r="57" spans="1:45" ht="16.5" customHeight="1" x14ac:dyDescent="0.25">
      <c r="A57" s="1349" t="s">
        <v>577</v>
      </c>
      <c r="B57" s="354"/>
      <c r="C57" s="354"/>
      <c r="D57" s="355"/>
      <c r="E57" s="355"/>
      <c r="F57" s="355"/>
      <c r="G57" s="355"/>
      <c r="H57" s="355"/>
      <c r="I57" s="355"/>
      <c r="J57" s="355"/>
      <c r="K57" s="355"/>
      <c r="L57" s="356"/>
      <c r="M57" s="357"/>
      <c r="N57" s="996"/>
      <c r="O57" s="513">
        <f t="shared" si="27"/>
        <v>0</v>
      </c>
      <c r="P57" s="1599"/>
      <c r="Q57" s="1585"/>
      <c r="R57" s="1077"/>
      <c r="S57" s="1051"/>
      <c r="T57" s="1051"/>
      <c r="U57" s="1051"/>
      <c r="V57" s="1051"/>
      <c r="W57" s="1051"/>
      <c r="X57" s="1051"/>
      <c r="Y57" s="1051"/>
      <c r="Z57" s="1051"/>
      <c r="AA57" s="866"/>
      <c r="AC57" s="492"/>
      <c r="AD57" s="272"/>
      <c r="AE57" s="259"/>
      <c r="AF57" s="493"/>
      <c r="AG57" s="502"/>
      <c r="AH57" s="502" t="s">
        <v>172</v>
      </c>
      <c r="AI57" s="273"/>
      <c r="AN57" s="139" t="s">
        <v>172</v>
      </c>
    </row>
    <row r="58" spans="1:45" ht="17.25" customHeight="1" x14ac:dyDescent="0.25">
      <c r="A58" s="293"/>
      <c r="B58" s="294"/>
      <c r="C58" s="294"/>
      <c r="D58" s="295"/>
      <c r="E58" s="295"/>
      <c r="F58" s="295"/>
      <c r="G58" s="295"/>
      <c r="H58" s="295"/>
      <c r="I58" s="295"/>
      <c r="J58" s="295"/>
      <c r="K58" s="295"/>
      <c r="L58" s="1204" t="s">
        <v>224</v>
      </c>
      <c r="M58" s="297">
        <v>0</v>
      </c>
      <c r="N58" s="297">
        <v>0</v>
      </c>
      <c r="O58" s="515">
        <f t="shared" si="27"/>
        <v>0</v>
      </c>
      <c r="P58" s="1599"/>
      <c r="Q58" s="1585"/>
      <c r="R58" s="1077"/>
      <c r="S58" s="1051"/>
      <c r="T58" s="1051"/>
      <c r="U58" s="1051"/>
      <c r="V58" s="1051"/>
      <c r="W58" s="1051"/>
      <c r="X58" s="1051"/>
      <c r="Y58" s="1051"/>
      <c r="Z58" s="1051"/>
      <c r="AA58" s="866"/>
      <c r="AC58" s="492"/>
      <c r="AD58" s="272"/>
      <c r="AE58" s="259"/>
      <c r="AF58" s="493"/>
      <c r="AG58" s="25">
        <f>O131</f>
        <v>0</v>
      </c>
      <c r="AH58" s="837"/>
      <c r="AI58" s="142">
        <f>1-AH58</f>
        <v>1</v>
      </c>
      <c r="AN58" s="129">
        <f>O131*AH58</f>
        <v>0</v>
      </c>
      <c r="AO58" s="1">
        <f>O131*AI58</f>
        <v>0</v>
      </c>
      <c r="AQ58" s="4">
        <f>AK58+AN58</f>
        <v>0</v>
      </c>
      <c r="AR58" s="1">
        <f>AL58+AO58</f>
        <v>0</v>
      </c>
      <c r="AS58" s="121">
        <f>AQ58+AR58</f>
        <v>0</v>
      </c>
    </row>
    <row r="59" spans="1:45" ht="16.5" customHeight="1" thickBot="1" x14ac:dyDescent="0.35">
      <c r="A59" s="1210" t="s">
        <v>47</v>
      </c>
      <c r="B59" s="1169"/>
      <c r="C59" s="1169"/>
      <c r="D59" s="1169"/>
      <c r="E59" s="1169"/>
      <c r="F59" s="1169"/>
      <c r="G59" s="1169"/>
      <c r="H59" s="1169"/>
      <c r="I59" s="1169"/>
      <c r="J59" s="1169"/>
      <c r="K59" s="1169"/>
      <c r="L59" s="1169"/>
      <c r="M59" s="1170">
        <f>SUM(M53:M58)</f>
        <v>0</v>
      </c>
      <c r="N59" s="299">
        <f>SUM(N53:N58)</f>
        <v>0</v>
      </c>
      <c r="O59" s="388">
        <f>SUM(O53:O58)</f>
        <v>0</v>
      </c>
      <c r="P59" s="425" t="s">
        <v>140</v>
      </c>
      <c r="Q59" s="1585"/>
      <c r="R59" s="1077"/>
      <c r="S59" s="866"/>
      <c r="T59" s="866"/>
      <c r="U59" s="866"/>
      <c r="V59" s="866"/>
      <c r="W59" s="866"/>
      <c r="X59" s="866"/>
      <c r="Y59" s="866"/>
      <c r="Z59" s="866"/>
      <c r="AA59" s="866"/>
      <c r="AC59" s="494" t="s">
        <v>170</v>
      </c>
      <c r="AD59" s="272" t="s">
        <v>203</v>
      </c>
      <c r="AE59" s="272" t="s">
        <v>204</v>
      </c>
      <c r="AF59" s="493"/>
      <c r="AG59" s="236" t="s">
        <v>170</v>
      </c>
      <c r="AH59" s="272" t="s">
        <v>203</v>
      </c>
      <c r="AI59" s="273" t="s">
        <v>204</v>
      </c>
      <c r="AK59" s="49"/>
      <c r="AL59" s="49"/>
      <c r="AN59" s="49"/>
      <c r="AO59" s="49"/>
      <c r="AQ59" s="49"/>
      <c r="AR59" s="49"/>
      <c r="AS59" s="49"/>
    </row>
    <row r="60" spans="1:45" ht="16.5" customHeight="1" x14ac:dyDescent="0.25">
      <c r="A60" s="1187" t="s">
        <v>65</v>
      </c>
      <c r="B60" s="226"/>
      <c r="C60" s="226"/>
      <c r="D60" s="301"/>
      <c r="E60" s="301"/>
      <c r="F60" s="301"/>
      <c r="G60" s="301"/>
      <c r="H60" s="1061"/>
      <c r="I60" s="301"/>
      <c r="J60" s="301"/>
      <c r="K60" s="301"/>
      <c r="L60" s="301"/>
      <c r="M60" s="301"/>
      <c r="N60" s="301"/>
      <c r="O60" s="301"/>
      <c r="P60" s="1599"/>
      <c r="Q60" s="1585"/>
      <c r="R60" s="1077"/>
      <c r="S60" s="1051"/>
      <c r="T60" s="1051"/>
      <c r="U60" s="1051"/>
      <c r="V60" s="1051"/>
      <c r="W60" s="1051"/>
      <c r="X60" s="1051"/>
      <c r="Y60" s="1051"/>
      <c r="Z60" s="1051"/>
      <c r="AA60" s="866"/>
      <c r="AC60" s="274" t="s">
        <v>167</v>
      </c>
      <c r="AD60" s="278"/>
      <c r="AE60" s="278"/>
      <c r="AF60" s="493"/>
      <c r="AG60" s="275" t="s">
        <v>167</v>
      </c>
      <c r="AH60" s="278"/>
      <c r="AI60" s="278"/>
      <c r="AK60" s="160" t="s">
        <v>67</v>
      </c>
      <c r="AQ60" s="126"/>
      <c r="AR60" s="4"/>
    </row>
    <row r="61" spans="1:45" ht="16.5" customHeight="1" x14ac:dyDescent="0.25">
      <c r="A61" s="642"/>
      <c r="B61" s="341"/>
      <c r="C61" s="341"/>
      <c r="D61" s="1061"/>
      <c r="E61" s="1061"/>
      <c r="F61" s="1061"/>
      <c r="H61" s="1270"/>
      <c r="I61" s="227"/>
      <c r="J61" s="261"/>
      <c r="K61" s="261"/>
      <c r="L61" s="261"/>
      <c r="M61" s="301"/>
      <c r="N61" s="301"/>
      <c r="O61" s="227"/>
      <c r="P61" s="1599"/>
      <c r="Q61" s="1585"/>
      <c r="R61" s="1077"/>
      <c r="S61" s="1051"/>
      <c r="T61" s="1051"/>
      <c r="U61" s="1051"/>
      <c r="V61" s="1051"/>
      <c r="W61" s="1051"/>
      <c r="X61" s="1051"/>
      <c r="Y61" s="1051"/>
      <c r="Z61" s="1051"/>
      <c r="AA61" s="866"/>
      <c r="AC61" s="1463" t="s">
        <v>159</v>
      </c>
      <c r="AD61" s="1464"/>
      <c r="AE61" s="501"/>
      <c r="AF61" s="493"/>
      <c r="AG61" s="1465" t="s">
        <v>160</v>
      </c>
      <c r="AH61" s="1465"/>
      <c r="AI61" s="1466"/>
    </row>
    <row r="62" spans="1:45" ht="16.5" customHeight="1" x14ac:dyDescent="0.25">
      <c r="A62" s="305"/>
      <c r="B62" s="359"/>
      <c r="C62" s="359"/>
      <c r="D62" s="349"/>
      <c r="E62" s="301"/>
      <c r="F62" s="301"/>
      <c r="H62" s="1270"/>
      <c r="I62" s="227"/>
      <c r="J62" s="261"/>
      <c r="K62" s="261"/>
      <c r="L62" s="261"/>
      <c r="M62" s="301"/>
      <c r="N62" s="301"/>
      <c r="O62" s="227"/>
      <c r="P62" s="1599"/>
      <c r="Q62" s="1585"/>
      <c r="R62" s="1077"/>
      <c r="S62" s="1051"/>
      <c r="T62" s="1051"/>
      <c r="U62" s="1051"/>
      <c r="V62" s="1051"/>
      <c r="W62" s="1051"/>
      <c r="X62" s="1051"/>
      <c r="Y62" s="1051"/>
      <c r="Z62" s="1051"/>
      <c r="AA62" s="866"/>
      <c r="AC62" s="145">
        <f>I62</f>
        <v>0</v>
      </c>
      <c r="AD62" s="837"/>
      <c r="AE62" s="124">
        <f>1-AD62</f>
        <v>1</v>
      </c>
      <c r="AF62" s="144"/>
      <c r="AG62" s="48">
        <f>O62</f>
        <v>0</v>
      </c>
      <c r="AH62" s="837"/>
      <c r="AI62" s="142">
        <f>1-AH62</f>
        <v>1</v>
      </c>
      <c r="AK62" s="4">
        <f>I62*AD62</f>
        <v>0</v>
      </c>
      <c r="AL62" s="4">
        <f>I62*AE62</f>
        <v>0</v>
      </c>
      <c r="AN62" s="4">
        <f t="shared" ref="AN62:AN67" si="28">O62*AH62</f>
        <v>0</v>
      </c>
      <c r="AO62" s="4">
        <f t="shared" ref="AO62:AO67" si="29">O62*AI62</f>
        <v>0</v>
      </c>
      <c r="AQ62" s="4">
        <f>AK62+AN62</f>
        <v>0</v>
      </c>
      <c r="AR62" s="4">
        <f>AL62+AO62</f>
        <v>0</v>
      </c>
      <c r="AS62" s="4">
        <f>SUM(AQ62:AR62)</f>
        <v>0</v>
      </c>
    </row>
    <row r="63" spans="1:45" ht="16.5" customHeight="1" x14ac:dyDescent="0.25">
      <c r="A63" s="305"/>
      <c r="B63" s="359"/>
      <c r="C63" s="359"/>
      <c r="D63" s="349"/>
      <c r="E63" s="301"/>
      <c r="F63" s="301"/>
      <c r="H63" s="1270"/>
      <c r="I63" s="227"/>
      <c r="J63" s="261"/>
      <c r="K63" s="261"/>
      <c r="L63" s="261"/>
      <c r="M63" s="301"/>
      <c r="N63" s="301"/>
      <c r="O63" s="227"/>
      <c r="P63" s="1599"/>
      <c r="Q63" s="1585"/>
      <c r="R63" s="1077"/>
      <c r="S63" s="1051"/>
      <c r="T63" s="1051"/>
      <c r="U63" s="1051"/>
      <c r="V63" s="1051"/>
      <c r="W63" s="1051"/>
      <c r="X63" s="1051"/>
      <c r="Y63" s="1051"/>
      <c r="Z63" s="1051"/>
      <c r="AA63" s="866"/>
      <c r="AC63" s="145">
        <f>I63</f>
        <v>0</v>
      </c>
      <c r="AD63" s="837"/>
      <c r="AE63" s="124">
        <f t="shared" ref="AE63:AE66" si="30">1-AD63</f>
        <v>1</v>
      </c>
      <c r="AF63" s="144"/>
      <c r="AG63" s="48">
        <f>O63</f>
        <v>0</v>
      </c>
      <c r="AH63" s="837"/>
      <c r="AI63" s="142">
        <f t="shared" ref="AI63:AI70" si="31">1-AH63</f>
        <v>1</v>
      </c>
      <c r="AK63" s="4">
        <f>I63*AD63</f>
        <v>0</v>
      </c>
      <c r="AL63" s="4">
        <f>I63*AE63</f>
        <v>0</v>
      </c>
      <c r="AN63" s="4">
        <f t="shared" si="28"/>
        <v>0</v>
      </c>
      <c r="AO63" s="4">
        <f t="shared" si="29"/>
        <v>0</v>
      </c>
      <c r="AQ63" s="4">
        <f t="shared" ref="AQ63:AQ70" si="32">AK63+AN63</f>
        <v>0</v>
      </c>
      <c r="AR63" s="4">
        <f t="shared" ref="AR63:AR70" si="33">AL63+AO63</f>
        <v>0</v>
      </c>
      <c r="AS63" s="4">
        <f t="shared" ref="AS63:AS74" si="34">SUM(AQ63:AR63)</f>
        <v>0</v>
      </c>
    </row>
    <row r="64" spans="1:45" ht="16.5" customHeight="1" x14ac:dyDescent="0.25">
      <c r="A64" s="305"/>
      <c r="B64" s="359"/>
      <c r="C64" s="359"/>
      <c r="D64" s="349"/>
      <c r="E64" s="301"/>
      <c r="F64" s="301"/>
      <c r="H64" s="1270"/>
      <c r="I64" s="227"/>
      <c r="J64" s="261"/>
      <c r="K64" s="261"/>
      <c r="L64" s="261"/>
      <c r="M64" s="301"/>
      <c r="N64" s="301"/>
      <c r="O64" s="227"/>
      <c r="P64" s="1599"/>
      <c r="Q64" s="1585"/>
      <c r="R64" s="1077"/>
      <c r="S64" s="1051"/>
      <c r="T64" s="1051"/>
      <c r="U64" s="1051"/>
      <c r="V64" s="1051"/>
      <c r="W64" s="1051"/>
      <c r="X64" s="1051"/>
      <c r="Y64" s="1051"/>
      <c r="Z64" s="1051"/>
      <c r="AA64" s="866"/>
      <c r="AC64" s="145">
        <f>I64</f>
        <v>0</v>
      </c>
      <c r="AD64" s="837"/>
      <c r="AE64" s="124">
        <f t="shared" si="30"/>
        <v>1</v>
      </c>
      <c r="AF64" s="144"/>
      <c r="AG64" s="48">
        <f>O64</f>
        <v>0</v>
      </c>
      <c r="AH64" s="837"/>
      <c r="AI64" s="142">
        <f t="shared" si="31"/>
        <v>1</v>
      </c>
      <c r="AK64" s="4">
        <f>I64*AD64</f>
        <v>0</v>
      </c>
      <c r="AL64" s="4">
        <f>I64*AE64</f>
        <v>0</v>
      </c>
      <c r="AN64" s="4">
        <f t="shared" si="28"/>
        <v>0</v>
      </c>
      <c r="AO64" s="4">
        <f t="shared" si="29"/>
        <v>0</v>
      </c>
      <c r="AQ64" s="4">
        <f t="shared" si="32"/>
        <v>0</v>
      </c>
      <c r="AR64" s="4">
        <f t="shared" si="33"/>
        <v>0</v>
      </c>
      <c r="AS64" s="4">
        <f t="shared" si="34"/>
        <v>0</v>
      </c>
    </row>
    <row r="65" spans="1:84" ht="16.5" customHeight="1" x14ac:dyDescent="0.25">
      <c r="A65" s="305"/>
      <c r="B65" s="359"/>
      <c r="C65" s="359"/>
      <c r="D65" s="349"/>
      <c r="E65" s="301"/>
      <c r="F65" s="301"/>
      <c r="H65" s="1270"/>
      <c r="I65" s="227"/>
      <c r="J65" s="261"/>
      <c r="K65" s="261"/>
      <c r="L65" s="261"/>
      <c r="M65" s="301"/>
      <c r="N65" s="301"/>
      <c r="O65" s="227"/>
      <c r="P65" s="1599"/>
      <c r="Q65" s="1585"/>
      <c r="R65" s="1077"/>
      <c r="S65" s="1051"/>
      <c r="T65" s="1051"/>
      <c r="U65" s="1051"/>
      <c r="V65" s="1051"/>
      <c r="W65" s="1051"/>
      <c r="X65" s="1051"/>
      <c r="Y65" s="1051"/>
      <c r="Z65" s="1051"/>
      <c r="AA65" s="866"/>
      <c r="AC65" s="145">
        <f>I65</f>
        <v>0</v>
      </c>
      <c r="AD65" s="837"/>
      <c r="AE65" s="124">
        <f t="shared" si="30"/>
        <v>1</v>
      </c>
      <c r="AF65" s="144"/>
      <c r="AG65" s="48">
        <f>O65</f>
        <v>0</v>
      </c>
      <c r="AH65" s="837"/>
      <c r="AI65" s="142">
        <f t="shared" si="31"/>
        <v>1</v>
      </c>
      <c r="AK65" s="4">
        <f>I65*AD65</f>
        <v>0</v>
      </c>
      <c r="AL65" s="4">
        <f>I65*AE65</f>
        <v>0</v>
      </c>
      <c r="AN65" s="4">
        <f t="shared" si="28"/>
        <v>0</v>
      </c>
      <c r="AO65" s="4">
        <f t="shared" si="29"/>
        <v>0</v>
      </c>
      <c r="AQ65" s="4">
        <f t="shared" si="32"/>
        <v>0</v>
      </c>
      <c r="AR65" s="4">
        <f t="shared" si="33"/>
        <v>0</v>
      </c>
      <c r="AS65" s="4">
        <f t="shared" si="34"/>
        <v>0</v>
      </c>
    </row>
    <row r="66" spans="1:84" ht="16.5" customHeight="1" x14ac:dyDescent="0.25">
      <c r="A66" s="305"/>
      <c r="B66" s="359"/>
      <c r="C66" s="359"/>
      <c r="D66" s="349"/>
      <c r="E66" s="301"/>
      <c r="F66" s="301"/>
      <c r="H66" s="1270"/>
      <c r="I66" s="227"/>
      <c r="J66" s="261"/>
      <c r="K66" s="261"/>
      <c r="L66" s="261"/>
      <c r="M66" s="301"/>
      <c r="N66" s="301"/>
      <c r="O66" s="227"/>
      <c r="P66" s="1601"/>
      <c r="Q66" s="1602"/>
      <c r="R66" s="1078"/>
      <c r="S66" s="1053"/>
      <c r="T66" s="1053"/>
      <c r="U66" s="1053"/>
      <c r="V66" s="1053"/>
      <c r="W66" s="1053"/>
      <c r="X66" s="1053"/>
      <c r="Y66" s="1053"/>
      <c r="Z66" s="1053"/>
      <c r="AA66" s="326"/>
      <c r="AB66" s="13"/>
      <c r="AC66" s="148">
        <f>I66</f>
        <v>0</v>
      </c>
      <c r="AD66" s="837"/>
      <c r="AE66" s="113">
        <f t="shared" si="30"/>
        <v>1</v>
      </c>
      <c r="AF66" s="114"/>
      <c r="AG66" s="48">
        <f>O66</f>
        <v>0</v>
      </c>
      <c r="AH66" s="837"/>
      <c r="AI66" s="142">
        <f t="shared" si="31"/>
        <v>1</v>
      </c>
      <c r="AK66" s="4">
        <f>I66*AD66</f>
        <v>0</v>
      </c>
      <c r="AL66" s="4">
        <f>I66*AE66</f>
        <v>0</v>
      </c>
      <c r="AN66" s="4">
        <f t="shared" si="28"/>
        <v>0</v>
      </c>
      <c r="AO66" s="4">
        <f t="shared" si="29"/>
        <v>0</v>
      </c>
      <c r="AQ66" s="4">
        <f t="shared" si="32"/>
        <v>0</v>
      </c>
      <c r="AR66" s="4">
        <f t="shared" si="33"/>
        <v>0</v>
      </c>
      <c r="AS66" s="4">
        <f t="shared" si="34"/>
        <v>0</v>
      </c>
    </row>
    <row r="67" spans="1:84" s="56" customFormat="1" ht="4.5" customHeight="1" x14ac:dyDescent="0.25">
      <c r="A67" s="360"/>
      <c r="B67" s="361"/>
      <c r="C67" s="361"/>
      <c r="D67" s="362"/>
      <c r="E67" s="363"/>
      <c r="F67" s="363"/>
      <c r="G67" s="363"/>
      <c r="H67" s="363"/>
      <c r="I67" s="363"/>
      <c r="J67" s="363"/>
      <c r="K67" s="363"/>
      <c r="L67" s="363"/>
      <c r="M67" s="364"/>
      <c r="N67" s="365"/>
      <c r="O67" s="389"/>
      <c r="P67" s="1601"/>
      <c r="Q67" s="1602"/>
      <c r="R67" s="1078"/>
      <c r="S67" s="1053"/>
      <c r="T67" s="1053"/>
      <c r="U67" s="1053"/>
      <c r="V67" s="1053"/>
      <c r="W67" s="1053"/>
      <c r="X67" s="1053"/>
      <c r="Y67" s="1053"/>
      <c r="Z67" s="1053"/>
      <c r="AA67" s="326"/>
      <c r="AB67" s="13"/>
      <c r="AC67" s="141"/>
      <c r="AD67" s="113"/>
      <c r="AE67" s="113"/>
      <c r="AF67" s="114"/>
      <c r="AG67" s="149"/>
      <c r="AH67" s="503"/>
      <c r="AI67" s="142"/>
      <c r="AK67" s="4"/>
      <c r="AL67" s="4"/>
      <c r="AN67" s="4">
        <f t="shared" si="28"/>
        <v>0</v>
      </c>
      <c r="AO67" s="4">
        <f t="shared" si="29"/>
        <v>0</v>
      </c>
      <c r="AQ67" s="4">
        <f t="shared" si="32"/>
        <v>0</v>
      </c>
      <c r="AR67" s="4">
        <f t="shared" si="33"/>
        <v>0</v>
      </c>
      <c r="AS67" s="4">
        <f>SUM(AQ67:AR67)</f>
        <v>0</v>
      </c>
      <c r="AT67" s="325"/>
      <c r="AU67" s="325"/>
      <c r="AV67" s="325"/>
      <c r="AW67" s="325"/>
      <c r="AX67" s="325"/>
      <c r="AY67" s="325"/>
      <c r="AZ67" s="325"/>
      <c r="BA67" s="325"/>
      <c r="BB67" s="325"/>
      <c r="BC67" s="325"/>
      <c r="BD67" s="325"/>
      <c r="BE67" s="325"/>
      <c r="BF67" s="325"/>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row>
    <row r="68" spans="1:84" ht="16.5" customHeight="1" x14ac:dyDescent="0.25">
      <c r="A68" s="1211" t="s">
        <v>544</v>
      </c>
      <c r="B68" s="367"/>
      <c r="C68" s="367"/>
      <c r="D68" s="368"/>
      <c r="E68" s="369"/>
      <c r="F68" s="369"/>
      <c r="G68" s="369"/>
      <c r="H68" s="369"/>
      <c r="I68" s="369"/>
      <c r="J68" s="369"/>
      <c r="K68" s="369"/>
      <c r="L68" s="369"/>
      <c r="M68" s="369"/>
      <c r="N68" s="369"/>
      <c r="O68" s="1214" t="s">
        <v>386</v>
      </c>
      <c r="P68" s="1601"/>
      <c r="Q68" s="1602"/>
      <c r="R68" s="1078"/>
      <c r="S68" s="1053"/>
      <c r="T68" s="1053"/>
      <c r="U68" s="1053"/>
      <c r="V68" s="1053"/>
      <c r="W68" s="1053"/>
      <c r="X68" s="1053"/>
      <c r="Y68" s="1053"/>
      <c r="Z68" s="1053"/>
      <c r="AA68" s="326"/>
      <c r="AB68" s="13"/>
      <c r="AC68" s="271"/>
      <c r="AD68" s="259"/>
      <c r="AE68" s="259"/>
      <c r="AF68" s="246"/>
      <c r="AG68" s="9"/>
      <c r="AH68" s="272"/>
      <c r="AI68" s="142"/>
      <c r="AK68" s="4"/>
      <c r="AL68" s="4"/>
      <c r="AN68" s="4"/>
      <c r="AO68" s="4"/>
      <c r="AQ68" s="4"/>
      <c r="AR68" s="4"/>
      <c r="AS68" s="4">
        <f t="shared" si="34"/>
        <v>0</v>
      </c>
    </row>
    <row r="69" spans="1:84" ht="16.5" customHeight="1" x14ac:dyDescent="0.25">
      <c r="A69" s="1213" t="s">
        <v>139</v>
      </c>
      <c r="B69" s="21" t="str">
        <f>'Federal Grad Student'!A20</f>
        <v xml:space="preserve"> Direct Compensation</v>
      </c>
      <c r="C69" s="21"/>
      <c r="D69" s="349"/>
      <c r="E69" s="301"/>
      <c r="F69" s="301"/>
      <c r="G69" s="301"/>
      <c r="H69" s="301"/>
      <c r="I69" s="301"/>
      <c r="J69" s="301"/>
      <c r="K69" s="301"/>
      <c r="L69" s="261"/>
      <c r="M69" s="301"/>
      <c r="N69" s="301"/>
      <c r="O69" s="391">
        <f>IF($L$177="Yes", 'Federal Grad Student'!C41, 0)</f>
        <v>0</v>
      </c>
      <c r="P69" s="1601"/>
      <c r="Q69" s="1585"/>
      <c r="R69" s="1077"/>
      <c r="S69" s="1051"/>
      <c r="T69" s="1051"/>
      <c r="U69" s="1051"/>
      <c r="V69" s="1051"/>
      <c r="W69" s="1051"/>
      <c r="X69" s="1051"/>
      <c r="Y69" s="1051"/>
      <c r="Z69" s="1051"/>
      <c r="AA69" s="866"/>
      <c r="AC69" s="492"/>
      <c r="AD69" s="261"/>
      <c r="AE69" s="272"/>
      <c r="AF69" s="262"/>
      <c r="AG69" s="48">
        <f>O69</f>
        <v>0</v>
      </c>
      <c r="AH69" s="504"/>
      <c r="AI69" s="142">
        <f t="shared" si="31"/>
        <v>1</v>
      </c>
      <c r="AK69" s="4">
        <f>G69*AD69</f>
        <v>0</v>
      </c>
      <c r="AL69" s="4">
        <f>G69*AE69</f>
        <v>0</v>
      </c>
      <c r="AN69" s="4">
        <f>O69*AH69</f>
        <v>0</v>
      </c>
      <c r="AO69" s="4">
        <f>O69*AI69</f>
        <v>0</v>
      </c>
      <c r="AQ69" s="4">
        <f t="shared" si="32"/>
        <v>0</v>
      </c>
      <c r="AR69" s="4">
        <f t="shared" si="33"/>
        <v>0</v>
      </c>
      <c r="AS69" s="4">
        <f t="shared" si="34"/>
        <v>0</v>
      </c>
    </row>
    <row r="70" spans="1:84" ht="16.5" customHeight="1" x14ac:dyDescent="0.25">
      <c r="A70" s="1200" t="s">
        <v>545</v>
      </c>
      <c r="B70" s="21" t="str">
        <f>'Federal Grad Student'!A21</f>
        <v xml:space="preserve"> Health Insurance</v>
      </c>
      <c r="C70" s="21"/>
      <c r="D70" s="349"/>
      <c r="E70" s="301"/>
      <c r="F70" s="301"/>
      <c r="G70" s="301"/>
      <c r="H70" s="301"/>
      <c r="I70" s="301"/>
      <c r="J70" s="301"/>
      <c r="K70" s="301"/>
      <c r="L70" s="261"/>
      <c r="M70" s="301"/>
      <c r="N70" s="301"/>
      <c r="O70" s="392">
        <f>IF($L$177="Yes", 'Federal Grad Student'!C42, 0)</f>
        <v>0</v>
      </c>
      <c r="P70" s="1601"/>
      <c r="Q70" s="1585"/>
      <c r="R70" s="1077"/>
      <c r="S70" s="1051"/>
      <c r="T70" s="1051"/>
      <c r="U70" s="1051"/>
      <c r="V70" s="1051"/>
      <c r="W70" s="1051"/>
      <c r="X70" s="1051"/>
      <c r="Y70" s="1051"/>
      <c r="Z70" s="1051"/>
      <c r="AA70" s="866"/>
      <c r="AC70" s="492"/>
      <c r="AD70" s="261"/>
      <c r="AE70" s="272"/>
      <c r="AF70" s="262"/>
      <c r="AG70" s="48">
        <f>O70</f>
        <v>0</v>
      </c>
      <c r="AH70" s="504"/>
      <c r="AI70" s="142">
        <f t="shared" si="31"/>
        <v>1</v>
      </c>
      <c r="AK70" s="4">
        <f>G70*AD70</f>
        <v>0</v>
      </c>
      <c r="AL70" s="4">
        <f>G70*AE70</f>
        <v>0</v>
      </c>
      <c r="AN70" s="4">
        <f>O70*AH70</f>
        <v>0</v>
      </c>
      <c r="AO70" s="4">
        <f>O70*AI70</f>
        <v>0</v>
      </c>
      <c r="AQ70" s="4">
        <f t="shared" si="32"/>
        <v>0</v>
      </c>
      <c r="AR70" s="4">
        <f t="shared" si="33"/>
        <v>0</v>
      </c>
      <c r="AS70" s="4">
        <f t="shared" si="34"/>
        <v>0</v>
      </c>
    </row>
    <row r="71" spans="1:84" ht="16.5" customHeight="1" x14ac:dyDescent="0.3">
      <c r="A71" s="1212" t="s">
        <v>174</v>
      </c>
      <c r="B71" s="1199" t="str">
        <f>'Federal Grad Student'!A22</f>
        <v xml:space="preserve"> Tuition/Fees</v>
      </c>
      <c r="C71" s="1199"/>
      <c r="D71" s="374"/>
      <c r="E71" s="375"/>
      <c r="F71" s="375"/>
      <c r="G71" s="375"/>
      <c r="H71" s="375"/>
      <c r="I71" s="375"/>
      <c r="J71" s="375"/>
      <c r="K71" s="375"/>
      <c r="L71" s="358"/>
      <c r="M71" s="375"/>
      <c r="N71" s="375"/>
      <c r="O71" s="393">
        <f>IF($L$177="Yes", 'Federal Grad Student'!C43, 0)</f>
        <v>0</v>
      </c>
      <c r="P71" s="425" t="s">
        <v>45</v>
      </c>
      <c r="Q71" s="1585"/>
      <c r="R71" s="1077"/>
      <c r="S71" s="866"/>
      <c r="T71" s="866"/>
      <c r="U71" s="866"/>
      <c r="V71" s="866"/>
      <c r="W71" s="866"/>
      <c r="X71" s="866"/>
      <c r="Y71" s="866"/>
      <c r="Z71" s="866"/>
      <c r="AA71" s="866"/>
      <c r="AC71" s="492"/>
      <c r="AD71" s="261"/>
      <c r="AE71" s="272"/>
      <c r="AF71" s="262"/>
      <c r="AG71" s="9"/>
      <c r="AH71" s="261"/>
      <c r="AI71" s="142"/>
      <c r="AK71" s="49"/>
      <c r="AL71" s="49"/>
      <c r="AN71" s="50"/>
      <c r="AO71" s="50"/>
      <c r="AQ71" s="50"/>
      <c r="AR71" s="50"/>
      <c r="AS71" s="50"/>
    </row>
    <row r="72" spans="1:84" ht="4.5" customHeight="1" x14ac:dyDescent="0.3">
      <c r="A72" s="376"/>
      <c r="B72" s="305"/>
      <c r="C72" s="305"/>
      <c r="D72" s="349"/>
      <c r="E72" s="301"/>
      <c r="F72" s="301"/>
      <c r="G72" s="301"/>
      <c r="H72" s="301"/>
      <c r="I72" s="301"/>
      <c r="J72" s="301"/>
      <c r="K72" s="301"/>
      <c r="L72" s="261"/>
      <c r="M72" s="375"/>
      <c r="N72" s="375"/>
      <c r="O72" s="394"/>
      <c r="P72" s="1600"/>
      <c r="Q72" s="1585"/>
      <c r="R72" s="1077"/>
      <c r="S72" s="866"/>
      <c r="T72" s="866"/>
      <c r="U72" s="866"/>
      <c r="V72" s="866"/>
      <c r="W72" s="866"/>
      <c r="X72" s="866"/>
      <c r="Y72" s="866"/>
      <c r="Z72" s="866"/>
      <c r="AA72" s="866"/>
      <c r="AC72" s="492"/>
      <c r="AD72" s="261"/>
      <c r="AE72" s="272"/>
      <c r="AF72" s="262"/>
      <c r="AG72" s="9"/>
      <c r="AH72" s="261"/>
      <c r="AI72" s="142"/>
      <c r="AK72" s="9"/>
      <c r="AL72" s="9"/>
      <c r="AN72" s="159"/>
      <c r="AO72" s="159"/>
      <c r="AQ72" s="48"/>
      <c r="AR72" s="48"/>
      <c r="AS72" s="48">
        <f t="shared" si="34"/>
        <v>0</v>
      </c>
    </row>
    <row r="73" spans="1:84" ht="21.75" customHeight="1" x14ac:dyDescent="0.3">
      <c r="A73" s="1201" t="s">
        <v>218</v>
      </c>
      <c r="B73" s="378"/>
      <c r="C73" s="378"/>
      <c r="D73" s="379"/>
      <c r="E73" s="380"/>
      <c r="F73" s="380"/>
      <c r="G73" s="379"/>
      <c r="H73" s="380"/>
      <c r="J73" s="227"/>
      <c r="K73" s="375"/>
      <c r="L73" s="1203" t="s">
        <v>539</v>
      </c>
      <c r="M73" s="1205"/>
      <c r="N73" s="1204" t="s">
        <v>263</v>
      </c>
      <c r="O73" s="487">
        <v>0</v>
      </c>
      <c r="P73" s="1599"/>
      <c r="Q73" s="1585"/>
      <c r="R73" s="1077"/>
      <c r="S73" s="1051"/>
      <c r="T73" s="1051"/>
      <c r="U73" s="1051"/>
      <c r="V73" s="1051"/>
      <c r="W73" s="1051"/>
      <c r="X73" s="1051"/>
      <c r="Y73" s="1051"/>
      <c r="Z73" s="1051"/>
      <c r="AA73" s="713"/>
      <c r="AB73" s="129"/>
      <c r="AC73" s="1021"/>
      <c r="AD73" s="1022"/>
      <c r="AE73" s="1023"/>
      <c r="AF73" s="508"/>
      <c r="AG73" s="150"/>
      <c r="AH73" s="297"/>
      <c r="AI73" s="147"/>
      <c r="AN73" s="122">
        <v>0</v>
      </c>
      <c r="AO73" s="122">
        <v>0</v>
      </c>
      <c r="AQ73" s="134"/>
      <c r="AR73" s="134"/>
      <c r="AS73" s="48">
        <f t="shared" si="34"/>
        <v>0</v>
      </c>
    </row>
    <row r="74" spans="1:84" ht="16.5" customHeight="1" thickBot="1" x14ac:dyDescent="0.3">
      <c r="A74" s="1210" t="s">
        <v>66</v>
      </c>
      <c r="B74" s="1169"/>
      <c r="C74" s="1169"/>
      <c r="D74" s="1169"/>
      <c r="E74" s="1169"/>
      <c r="F74" s="1169"/>
      <c r="G74" s="1169"/>
      <c r="H74" s="1169"/>
      <c r="I74" s="1169"/>
      <c r="J74" s="1169"/>
      <c r="K74" s="1169"/>
      <c r="L74" s="1169"/>
      <c r="M74" s="1169"/>
      <c r="N74" s="1172"/>
      <c r="O74" s="395">
        <f>SUM(I61:I66)+SUM(O61:O66)+SUM(O69:O71)+J73+O73</f>
        <v>0</v>
      </c>
      <c r="P74" s="1599"/>
      <c r="Q74" s="1585"/>
      <c r="R74" s="1077"/>
      <c r="S74" s="1051"/>
      <c r="T74" s="1051"/>
      <c r="U74" s="1051"/>
      <c r="V74" s="1051"/>
      <c r="W74" s="1051"/>
      <c r="X74" s="1051"/>
      <c r="Y74" s="1051"/>
      <c r="Z74" s="1051"/>
      <c r="AA74" s="713"/>
      <c r="AB74" s="713"/>
      <c r="AC74" s="713"/>
      <c r="AD74" s="713"/>
      <c r="AE74" s="713"/>
      <c r="AF74" s="230"/>
      <c r="AG74" s="230"/>
      <c r="AH74" s="265"/>
      <c r="AI74" s="265"/>
      <c r="AK74" s="4">
        <f>SUM(AK62:AK71)</f>
        <v>0</v>
      </c>
      <c r="AL74" s="4">
        <f>SUM(AL62:AL71)</f>
        <v>0</v>
      </c>
      <c r="AN74" s="4">
        <f>SUM(AN62:AN71)</f>
        <v>0</v>
      </c>
      <c r="AO74" s="4">
        <f>SUM(AO62:AO71)</f>
        <v>0</v>
      </c>
      <c r="AQ74" s="4">
        <f>SUM(AQ62:AQ71)</f>
        <v>0</v>
      </c>
      <c r="AR74" s="4">
        <f>SUM(AR62:AR71)</f>
        <v>0</v>
      </c>
      <c r="AS74" s="135">
        <f t="shared" si="34"/>
        <v>0</v>
      </c>
    </row>
    <row r="75" spans="1:84" ht="16.5" customHeight="1" x14ac:dyDescent="0.25">
      <c r="A75" s="225"/>
      <c r="B75" s="226"/>
      <c r="C75" s="226"/>
      <c r="D75" s="301"/>
      <c r="E75" s="301"/>
      <c r="F75" s="301"/>
      <c r="G75" s="301"/>
      <c r="H75" s="301"/>
      <c r="I75" s="301"/>
      <c r="J75" s="301"/>
      <c r="K75" s="301"/>
      <c r="L75" s="301"/>
      <c r="M75" s="301"/>
      <c r="N75" s="301"/>
      <c r="O75" s="396"/>
      <c r="P75" s="1599"/>
      <c r="Q75" s="1585"/>
      <c r="R75" s="1077"/>
      <c r="S75" s="1051"/>
      <c r="T75" s="1051"/>
      <c r="U75" s="1051"/>
      <c r="V75" s="1051"/>
      <c r="W75" s="1051"/>
      <c r="X75" s="1051"/>
      <c r="Y75" s="1051"/>
      <c r="Z75" s="1051"/>
      <c r="AA75" s="713"/>
      <c r="AB75" s="713"/>
      <c r="AC75" s="713"/>
      <c r="AD75" s="713"/>
      <c r="AE75" s="713"/>
      <c r="AF75" s="230"/>
      <c r="AG75" s="230"/>
      <c r="AH75" s="265"/>
      <c r="AI75" s="265"/>
      <c r="AQ75" s="126"/>
      <c r="AR75" s="121"/>
    </row>
    <row r="76" spans="1:84" ht="16.5" customHeight="1" x14ac:dyDescent="0.25">
      <c r="A76" s="1187" t="s">
        <v>74</v>
      </c>
      <c r="B76" s="429"/>
      <c r="C76" s="429"/>
      <c r="D76" s="301"/>
      <c r="E76" s="301"/>
      <c r="F76" s="301"/>
      <c r="G76" s="301"/>
      <c r="H76" s="301"/>
      <c r="I76" s="301"/>
      <c r="J76" s="301"/>
      <c r="K76" s="301"/>
      <c r="L76" s="301"/>
      <c r="M76" s="301"/>
      <c r="N76" s="301"/>
      <c r="O76" s="397">
        <f>SUM(O26,O31,O36,O42,O46,O51,O59,O74)</f>
        <v>0</v>
      </c>
      <c r="P76" s="1599"/>
      <c r="Q76" s="1585"/>
      <c r="R76" s="1077"/>
      <c r="S76" s="1051"/>
      <c r="T76" s="1051"/>
      <c r="U76" s="1051"/>
      <c r="V76" s="1051"/>
      <c r="W76" s="1051"/>
      <c r="X76" s="1051"/>
      <c r="Y76" s="1051"/>
      <c r="Z76" s="1051"/>
      <c r="AA76" s="713"/>
      <c r="AB76" s="713"/>
      <c r="AC76" s="713"/>
      <c r="AD76" s="713"/>
      <c r="AE76" s="713"/>
      <c r="AF76" s="230"/>
      <c r="AG76" s="230"/>
      <c r="AH76" s="265"/>
      <c r="AI76" s="265"/>
      <c r="AO76" s="126" t="s">
        <v>165</v>
      </c>
      <c r="AQ76" s="121">
        <f>AQ26+AQ36+AQ42+AQ46+AQ54+AQ58+AQ74</f>
        <v>0</v>
      </c>
      <c r="AR76" s="121">
        <f>AR26+AR36+AR42+AR46+AR54+AR58+AR74</f>
        <v>0</v>
      </c>
      <c r="AS76" s="121">
        <f>AS26+AS36+AS42+AS46+AS54+AS58+AS74</f>
        <v>0</v>
      </c>
      <c r="AT76" s="509">
        <f>B97</f>
        <v>0</v>
      </c>
      <c r="AU76" s="509">
        <f>AT76-AS76</f>
        <v>0</v>
      </c>
    </row>
    <row r="77" spans="1:84" ht="16.5" customHeight="1" x14ac:dyDescent="0.25">
      <c r="A77" s="428"/>
      <c r="B77" s="429"/>
      <c r="C77" s="429"/>
      <c r="D77" s="301"/>
      <c r="E77" s="301"/>
      <c r="F77" s="301"/>
      <c r="G77" s="301"/>
      <c r="H77" s="301"/>
      <c r="I77" s="301"/>
      <c r="J77" s="301"/>
      <c r="K77" s="301"/>
      <c r="L77" s="301"/>
      <c r="M77" s="301"/>
      <c r="N77" s="301"/>
      <c r="O77" s="338"/>
      <c r="P77" s="1599"/>
      <c r="Q77" s="1585"/>
      <c r="R77" s="1077"/>
      <c r="S77" s="1051"/>
      <c r="T77" s="1051"/>
      <c r="U77" s="1051"/>
      <c r="V77" s="1051"/>
      <c r="W77" s="1051"/>
      <c r="X77" s="1051"/>
      <c r="Y77" s="1051"/>
      <c r="Z77" s="1051"/>
      <c r="AA77" s="713"/>
      <c r="AB77" s="713"/>
      <c r="AC77" s="713"/>
      <c r="AD77" s="713"/>
      <c r="AE77" s="713"/>
      <c r="AF77" s="230"/>
      <c r="AG77" s="230"/>
      <c r="AH77" s="265"/>
      <c r="AI77" s="265"/>
      <c r="AO77" s="1" t="s">
        <v>179</v>
      </c>
      <c r="AQ77" s="101">
        <f>M86</f>
        <v>0</v>
      </c>
      <c r="AR77" s="101">
        <f>M90</f>
        <v>0</v>
      </c>
      <c r="AS77" s="220" t="e">
        <f>(AQ77*AQ79)+(AR77*AR79)</f>
        <v>#DIV/0!</v>
      </c>
    </row>
    <row r="78" spans="1:84" ht="16.5" customHeight="1" x14ac:dyDescent="0.25">
      <c r="A78" s="1187" t="s">
        <v>23</v>
      </c>
      <c r="B78" s="342"/>
      <c r="C78" s="342"/>
      <c r="D78" s="301"/>
      <c r="E78" s="301"/>
      <c r="F78" s="301"/>
      <c r="G78" s="301"/>
      <c r="H78" s="301"/>
      <c r="I78" s="301"/>
      <c r="J78" s="301"/>
      <c r="K78" s="301"/>
      <c r="L78" s="301"/>
      <c r="M78" s="301"/>
      <c r="N78" s="301"/>
      <c r="O78" s="338"/>
      <c r="P78" s="1599"/>
      <c r="Q78" s="1585"/>
      <c r="R78" s="1077"/>
      <c r="S78" s="1051"/>
      <c r="T78" s="1051"/>
      <c r="U78" s="1051"/>
      <c r="V78" s="1051"/>
      <c r="W78" s="1051"/>
      <c r="X78" s="1051"/>
      <c r="Y78" s="1051"/>
      <c r="Z78" s="1051"/>
      <c r="AA78" s="713"/>
      <c r="AB78" s="713"/>
      <c r="AC78" s="713"/>
      <c r="AD78" s="713"/>
      <c r="AE78" s="713"/>
      <c r="AF78" s="230"/>
      <c r="AG78" s="230"/>
      <c r="AH78" s="265"/>
      <c r="AI78" s="265"/>
      <c r="AO78" s="126" t="s">
        <v>181</v>
      </c>
      <c r="AQ78" s="121">
        <f>AQ76*AQ77</f>
        <v>0</v>
      </c>
      <c r="AR78" s="121">
        <f>AR76*AR77</f>
        <v>0</v>
      </c>
      <c r="AS78" s="128">
        <f>AQ78+AR78</f>
        <v>0</v>
      </c>
    </row>
    <row r="79" spans="1:84" ht="16.5" customHeight="1" x14ac:dyDescent="0.25">
      <c r="A79" s="1171" t="s">
        <v>26</v>
      </c>
      <c r="B79" s="342"/>
      <c r="C79" s="342"/>
      <c r="D79" s="301"/>
      <c r="E79" s="301"/>
      <c r="F79" s="301"/>
      <c r="G79" s="301"/>
      <c r="H79" s="301"/>
      <c r="I79" s="301"/>
      <c r="J79" s="301"/>
      <c r="K79" s="301"/>
      <c r="L79" s="301"/>
      <c r="M79" s="398">
        <f>O76-O59+M57</f>
        <v>0</v>
      </c>
      <c r="N79" s="301"/>
      <c r="O79" s="338"/>
      <c r="P79" s="1601"/>
      <c r="Q79" s="1602"/>
      <c r="R79" s="1078"/>
      <c r="S79" s="1053"/>
      <c r="T79" s="1053"/>
      <c r="U79" s="1053"/>
      <c r="V79" s="1053"/>
      <c r="W79" s="1053"/>
      <c r="X79" s="1053"/>
      <c r="Y79" s="1053"/>
      <c r="Z79" s="1053"/>
      <c r="AA79" s="732"/>
      <c r="AB79" s="732"/>
      <c r="AC79" s="732"/>
      <c r="AD79" s="732"/>
      <c r="AE79" s="732"/>
      <c r="AF79" s="326"/>
      <c r="AG79" s="326"/>
      <c r="AH79" s="510"/>
      <c r="AI79" s="510"/>
      <c r="AJ79" s="13"/>
      <c r="AK79" s="13"/>
      <c r="AO79" s="126" t="s">
        <v>183</v>
      </c>
      <c r="AQ79" s="125" t="e">
        <f>AQ76/AS76</f>
        <v>#DIV/0!</v>
      </c>
      <c r="AR79" s="125" t="e">
        <f>AR76/AS76</f>
        <v>#DIV/0!</v>
      </c>
      <c r="AS79" s="155" t="e">
        <f>AQ79+AR79</f>
        <v>#DIV/0!</v>
      </c>
      <c r="AT79" s="326"/>
      <c r="AU79" s="326"/>
      <c r="AV79" s="326"/>
      <c r="AW79" s="326"/>
      <c r="AX79" s="326"/>
      <c r="AY79" s="326"/>
      <c r="AZ79" s="326"/>
      <c r="BA79" s="326"/>
    </row>
    <row r="80" spans="1:84" ht="16.5" customHeight="1" thickBot="1" x14ac:dyDescent="0.3">
      <c r="A80" s="1171" t="s">
        <v>75</v>
      </c>
      <c r="B80" s="226"/>
      <c r="C80" s="226"/>
      <c r="D80" s="301"/>
      <c r="E80" s="301"/>
      <c r="F80" s="301"/>
      <c r="G80" s="301"/>
      <c r="H80" s="301"/>
      <c r="I80" s="301"/>
      <c r="J80" s="301"/>
      <c r="K80" s="301"/>
      <c r="L80" s="301"/>
      <c r="M80" s="398">
        <f>O76-N59</f>
        <v>0</v>
      </c>
      <c r="N80" s="301"/>
      <c r="O80" s="516"/>
      <c r="P80" s="1601"/>
      <c r="Q80" s="1602"/>
      <c r="R80" s="1078"/>
      <c r="S80" s="1053"/>
      <c r="T80" s="1053"/>
      <c r="U80" s="1053"/>
      <c r="V80" s="1053"/>
      <c r="W80" s="1053"/>
      <c r="X80" s="1053"/>
      <c r="Y80" s="1053"/>
      <c r="Z80" s="1053"/>
      <c r="AA80" s="732"/>
      <c r="AB80" s="732"/>
      <c r="AC80" s="732"/>
      <c r="AD80" s="732"/>
      <c r="AE80" s="732"/>
      <c r="AF80" s="326"/>
      <c r="AG80" s="326"/>
      <c r="AH80" s="510"/>
      <c r="AI80" s="510"/>
      <c r="AJ80" s="13"/>
      <c r="AK80" s="13"/>
      <c r="AN80" s="13"/>
      <c r="AO80" s="13"/>
      <c r="AP80" s="13"/>
      <c r="AQ80" s="13"/>
      <c r="AR80" s="13"/>
      <c r="AT80" s="327"/>
      <c r="AU80" s="326"/>
      <c r="AV80" s="326"/>
      <c r="AW80" s="326"/>
      <c r="AX80" s="326"/>
      <c r="AY80" s="326"/>
      <c r="AZ80" s="326"/>
      <c r="BA80" s="326"/>
    </row>
    <row r="81" spans="1:53" ht="16.5" customHeight="1" thickTop="1" thickBot="1" x14ac:dyDescent="0.3">
      <c r="A81" s="1193" t="s">
        <v>108</v>
      </c>
      <c r="B81" s="1142"/>
      <c r="C81" s="1142"/>
      <c r="D81" s="421"/>
      <c r="E81" s="421"/>
      <c r="F81" s="421"/>
      <c r="G81" s="421"/>
      <c r="H81" s="421"/>
      <c r="I81" s="421"/>
      <c r="J81" s="421"/>
      <c r="K81" s="421"/>
      <c r="L81" s="421"/>
      <c r="M81" s="421"/>
      <c r="N81" s="1173"/>
      <c r="O81" s="609">
        <v>0</v>
      </c>
      <c r="P81" s="1603"/>
      <c r="Q81" s="1604"/>
      <c r="R81" s="1077"/>
      <c r="S81" s="1053"/>
      <c r="T81" s="1053"/>
      <c r="U81" s="1053"/>
      <c r="V81" s="1053"/>
      <c r="W81" s="1053"/>
      <c r="X81" s="1053"/>
      <c r="Y81" s="1053"/>
      <c r="Z81" s="1053"/>
      <c r="AA81" s="732"/>
      <c r="AB81" s="732"/>
      <c r="AC81" s="732"/>
      <c r="AD81" s="732"/>
      <c r="AE81" s="732"/>
      <c r="AF81" s="326"/>
      <c r="AG81" s="326"/>
      <c r="AH81" s="510"/>
      <c r="AI81" s="510"/>
      <c r="AJ81" s="13"/>
      <c r="AK81" s="13"/>
      <c r="AO81" s="126" t="s">
        <v>190</v>
      </c>
      <c r="AS81" s="121">
        <f>O76</f>
        <v>0</v>
      </c>
      <c r="AT81" s="326"/>
      <c r="AU81" s="326"/>
      <c r="AV81" s="326"/>
      <c r="AW81" s="326"/>
      <c r="AX81" s="326"/>
      <c r="AY81" s="326"/>
      <c r="AZ81" s="326"/>
      <c r="BA81" s="326"/>
    </row>
    <row r="82" spans="1:53" ht="16.5" hidden="1" customHeight="1" thickTop="1" x14ac:dyDescent="0.25">
      <c r="A82" s="225"/>
      <c r="B82" s="226"/>
      <c r="C82" s="226"/>
      <c r="D82" s="301"/>
      <c r="E82" s="301"/>
      <c r="F82" s="301"/>
      <c r="G82" s="301"/>
      <c r="H82" s="301"/>
      <c r="I82" s="301"/>
      <c r="J82" s="301"/>
      <c r="K82" s="301"/>
      <c r="L82" s="301"/>
      <c r="M82" s="301"/>
      <c r="N82" s="301"/>
      <c r="O82" s="517"/>
      <c r="P82" s="1601"/>
      <c r="Q82" s="1602"/>
      <c r="R82" s="1078"/>
      <c r="S82" s="1053"/>
      <c r="T82" s="1053"/>
      <c r="U82" s="1053"/>
      <c r="V82" s="1053"/>
      <c r="W82" s="1053"/>
      <c r="X82" s="1053"/>
      <c r="Y82" s="1053"/>
      <c r="Z82" s="1053"/>
      <c r="AA82" s="732"/>
      <c r="AB82" s="732"/>
      <c r="AC82" s="732"/>
      <c r="AD82" s="732"/>
      <c r="AE82" s="732"/>
      <c r="AF82" s="326"/>
      <c r="AG82" s="326"/>
      <c r="AH82" s="510"/>
      <c r="AI82" s="510"/>
      <c r="AJ82" s="13"/>
      <c r="AK82" s="13"/>
      <c r="AL82" s="13"/>
      <c r="AO82" s="126" t="s">
        <v>191</v>
      </c>
      <c r="AS82" s="121">
        <f>M80</f>
        <v>0</v>
      </c>
      <c r="AT82" s="326"/>
      <c r="AU82" s="326"/>
      <c r="AV82" s="326"/>
      <c r="AW82" s="326"/>
      <c r="AX82" s="326"/>
      <c r="AY82" s="326"/>
      <c r="AZ82" s="326"/>
      <c r="BA82" s="326"/>
    </row>
    <row r="83" spans="1:53" ht="16.5" hidden="1" customHeight="1" x14ac:dyDescent="0.25">
      <c r="A83" s="428"/>
      <c r="B83" s="281"/>
      <c r="C83" s="281"/>
      <c r="D83" s="301"/>
      <c r="E83" s="301"/>
      <c r="F83" s="301"/>
      <c r="G83" s="301"/>
      <c r="H83" s="301"/>
      <c r="I83" s="301"/>
      <c r="J83" s="301"/>
      <c r="K83" s="301"/>
      <c r="L83" s="301"/>
      <c r="M83" s="281"/>
      <c r="N83" s="301"/>
      <c r="O83" s="518"/>
      <c r="P83" s="1599"/>
      <c r="Q83" s="1585"/>
      <c r="R83" s="1077"/>
      <c r="S83" s="1051"/>
      <c r="T83" s="1051"/>
      <c r="U83" s="1051"/>
      <c r="V83" s="1051"/>
      <c r="W83" s="1051"/>
      <c r="X83" s="1051"/>
      <c r="Y83" s="1051"/>
      <c r="Z83" s="1051"/>
      <c r="AA83" s="713"/>
      <c r="AB83" s="713"/>
      <c r="AC83" s="713"/>
      <c r="AD83" s="713"/>
      <c r="AE83" s="713"/>
      <c r="AF83" s="230"/>
      <c r="AG83" s="230"/>
      <c r="AH83" s="265"/>
      <c r="AI83" s="265"/>
      <c r="AL83" s="13"/>
      <c r="AM83" s="13"/>
    </row>
    <row r="84" spans="1:53" ht="24" hidden="1" customHeight="1" x14ac:dyDescent="0.25">
      <c r="A84" s="1114" t="s">
        <v>534</v>
      </c>
      <c r="B84" s="1115"/>
      <c r="C84" s="1115"/>
      <c r="D84" s="1116"/>
      <c r="E84" s="1116"/>
      <c r="F84" s="1116"/>
      <c r="G84" s="1116"/>
      <c r="H84" s="1116"/>
      <c r="I84" s="1116"/>
      <c r="J84" s="1116"/>
      <c r="K84" s="1116"/>
      <c r="L84" s="1116"/>
      <c r="M84" s="1117" t="s">
        <v>434</v>
      </c>
      <c r="N84" s="261"/>
      <c r="O84" s="519"/>
      <c r="P84" s="1599"/>
      <c r="Q84" s="1585"/>
      <c r="R84" s="1077"/>
      <c r="S84" s="1051"/>
      <c r="T84" s="1051"/>
      <c r="U84" s="1051"/>
      <c r="V84" s="1051"/>
      <c r="W84" s="1051"/>
      <c r="X84" s="1051"/>
      <c r="Y84" s="1051"/>
      <c r="Z84" s="1051"/>
      <c r="AA84" s="713"/>
      <c r="AB84" s="713"/>
      <c r="AC84" s="713"/>
      <c r="AD84" s="713"/>
      <c r="AE84" s="713"/>
      <c r="AF84" s="230"/>
      <c r="AG84" s="230"/>
      <c r="AH84" s="265"/>
      <c r="AI84" s="265"/>
      <c r="AL84" s="13"/>
      <c r="AM84" s="13"/>
    </row>
    <row r="85" spans="1:53" ht="16.5" hidden="1" customHeight="1" thickBot="1" x14ac:dyDescent="0.3">
      <c r="A85" s="1118" t="s">
        <v>532</v>
      </c>
      <c r="B85" s="1102"/>
      <c r="C85" s="1102"/>
      <c r="D85" s="1103"/>
      <c r="E85" s="1103"/>
      <c r="F85" s="1103"/>
      <c r="G85" s="1103"/>
      <c r="H85" s="1103"/>
      <c r="I85" s="1103"/>
      <c r="J85" s="1103"/>
      <c r="K85" s="1103"/>
      <c r="L85" s="1103"/>
      <c r="M85" s="1119" t="e">
        <f>IF(AND(SetUp!C4="Yes",L104="Yes",#REF!="Yes"),AQ99, IF(AND(SetUp!C4="Yes", L104="No",#REF!= "Yes"), AQ76, " "))</f>
        <v>#REF!</v>
      </c>
      <c r="N85" s="261"/>
      <c r="O85" s="518"/>
      <c r="P85" s="1599"/>
      <c r="Q85" s="1585"/>
      <c r="R85" s="1077"/>
      <c r="S85" s="1051"/>
      <c r="T85" s="1051"/>
      <c r="U85" s="1051"/>
      <c r="V85" s="1051"/>
      <c r="W85" s="1051"/>
      <c r="X85" s="1051"/>
      <c r="Y85" s="1051"/>
      <c r="Z85" s="1051"/>
      <c r="AA85" s="713"/>
      <c r="AB85" s="713"/>
      <c r="AC85" s="713"/>
      <c r="AD85" s="713"/>
      <c r="AE85" s="713"/>
      <c r="AF85" s="230"/>
      <c r="AG85" s="230"/>
      <c r="AH85" s="265"/>
      <c r="AI85" s="265"/>
      <c r="AM85" s="13"/>
    </row>
    <row r="86" spans="1:53" ht="16.5" hidden="1" customHeight="1" thickTop="1" thickBot="1" x14ac:dyDescent="0.3">
      <c r="A86" s="1120" t="s">
        <v>188</v>
      </c>
      <c r="B86" s="1102"/>
      <c r="C86" s="1102"/>
      <c r="D86" s="1103"/>
      <c r="E86" s="1103"/>
      <c r="F86" s="1103"/>
      <c r="G86" s="1103"/>
      <c r="H86" s="1103"/>
      <c r="I86" s="1103"/>
      <c r="J86" s="1103"/>
      <c r="K86" s="1103"/>
      <c r="L86" s="1103"/>
      <c r="M86" s="1121"/>
      <c r="N86" s="261"/>
      <c r="O86" s="518"/>
      <c r="P86" s="1599"/>
      <c r="Q86" s="1585"/>
      <c r="R86" s="1077"/>
      <c r="S86" s="1051"/>
      <c r="T86" s="1051"/>
      <c r="U86" s="1051"/>
      <c r="V86" s="1051"/>
      <c r="W86" s="1051"/>
      <c r="X86" s="1051"/>
      <c r="Y86" s="1051"/>
      <c r="Z86" s="1051"/>
      <c r="AA86" s="713"/>
      <c r="AB86" s="713"/>
      <c r="AC86" s="713"/>
      <c r="AD86" s="713"/>
      <c r="AE86" s="713"/>
      <c r="AF86" s="230"/>
      <c r="AG86" s="230"/>
      <c r="AH86" s="265"/>
      <c r="AI86" s="265"/>
    </row>
    <row r="87" spans="1:53" ht="16.5" hidden="1" customHeight="1" thickTop="1" x14ac:dyDescent="0.25">
      <c r="A87" s="1118" t="s">
        <v>530</v>
      </c>
      <c r="B87" s="1102"/>
      <c r="C87" s="1102"/>
      <c r="D87" s="1103"/>
      <c r="E87" s="1103"/>
      <c r="F87" s="1103"/>
      <c r="G87" s="1103"/>
      <c r="H87" s="1103"/>
      <c r="I87" s="1103"/>
      <c r="J87" s="1103"/>
      <c r="K87" s="1103"/>
      <c r="L87" s="1103"/>
      <c r="M87" s="1119" t="e">
        <f>IF(AND(SetUp!C4="Yes",L104="Yes",#REF!="Yes"),AQ101, IF(AND(SetUp!C4="Yes", L104="No",#REF!= "Yes"), AQ78, " "))</f>
        <v>#REF!</v>
      </c>
      <c r="N87" s="261"/>
      <c r="O87" s="518"/>
      <c r="P87" s="1599"/>
      <c r="Q87" s="1585"/>
      <c r="R87" s="1077"/>
      <c r="S87" s="1051"/>
      <c r="T87" s="1051"/>
      <c r="U87" s="1051"/>
      <c r="V87" s="1051"/>
      <c r="W87" s="1051"/>
      <c r="X87" s="1051"/>
      <c r="Y87" s="1051"/>
      <c r="Z87" s="1051"/>
      <c r="AA87" s="713"/>
      <c r="AB87" s="713"/>
      <c r="AC87" s="713"/>
      <c r="AD87" s="713"/>
      <c r="AE87" s="713"/>
      <c r="AF87" s="230"/>
      <c r="AG87" s="230"/>
      <c r="AH87" s="265"/>
      <c r="AI87" s="265"/>
    </row>
    <row r="88" spans="1:53" ht="8.25" hidden="1" customHeight="1" x14ac:dyDescent="0.25">
      <c r="A88" s="1122"/>
      <c r="B88" s="1102"/>
      <c r="C88" s="1102"/>
      <c r="D88" s="1103"/>
      <c r="E88" s="1103"/>
      <c r="F88" s="1103"/>
      <c r="G88" s="1103"/>
      <c r="H88" s="1103"/>
      <c r="I88" s="1106"/>
      <c r="J88" s="1106"/>
      <c r="K88" s="1106"/>
      <c r="L88" s="1107"/>
      <c r="M88" s="1123"/>
      <c r="N88" s="261"/>
      <c r="O88" s="518"/>
      <c r="P88" s="1599"/>
      <c r="Q88" s="1585"/>
      <c r="R88" s="1077"/>
      <c r="S88" s="1051"/>
      <c r="T88" s="1051"/>
      <c r="U88" s="1051"/>
      <c r="V88" s="1051"/>
      <c r="W88" s="1051"/>
      <c r="X88" s="1051"/>
      <c r="Y88" s="1051"/>
      <c r="Z88" s="1051"/>
      <c r="AA88" s="713"/>
      <c r="AB88" s="713"/>
      <c r="AC88" s="713"/>
      <c r="AD88" s="713"/>
      <c r="AE88" s="713"/>
      <c r="AF88" s="230"/>
      <c r="AG88" s="230"/>
      <c r="AH88" s="265"/>
      <c r="AI88" s="265"/>
    </row>
    <row r="89" spans="1:53" ht="16.5" hidden="1" customHeight="1" thickBot="1" x14ac:dyDescent="0.3">
      <c r="A89" s="1118" t="s">
        <v>533</v>
      </c>
      <c r="B89" s="1102"/>
      <c r="C89" s="1102"/>
      <c r="D89" s="1103"/>
      <c r="E89" s="1103"/>
      <c r="F89" s="1103"/>
      <c r="G89" s="1103"/>
      <c r="H89" s="1103"/>
      <c r="I89" s="1103"/>
      <c r="J89" s="1103"/>
      <c r="K89" s="1103"/>
      <c r="L89" s="1103"/>
      <c r="M89" s="1119" t="e">
        <f>IF(AND(SetUp!C4="Yes",L104="Yes",#REF!="Yes"),AR99,IF(AND(SetUp!C4="Yes",L104="No",#REF!="Yes"),AR76," "))</f>
        <v>#REF!</v>
      </c>
      <c r="N89" s="261"/>
      <c r="O89" s="518"/>
      <c r="P89" s="1599"/>
      <c r="Q89" s="1585"/>
      <c r="R89" s="1077"/>
      <c r="S89" s="1051"/>
      <c r="T89" s="1051"/>
      <c r="U89" s="1051"/>
      <c r="V89" s="1051"/>
      <c r="W89" s="1051"/>
      <c r="X89" s="1051"/>
      <c r="Y89" s="1051"/>
      <c r="Z89" s="1051"/>
      <c r="AA89" s="713"/>
      <c r="AB89" s="713"/>
      <c r="AC89" s="713"/>
      <c r="AD89" s="713"/>
      <c r="AE89" s="713"/>
      <c r="AF89" s="230"/>
      <c r="AG89" s="230"/>
      <c r="AH89" s="265"/>
      <c r="AI89" s="265"/>
    </row>
    <row r="90" spans="1:53" ht="16.5" hidden="1" customHeight="1" thickTop="1" thickBot="1" x14ac:dyDescent="0.3">
      <c r="A90" s="1120" t="s">
        <v>52</v>
      </c>
      <c r="B90" s="1102"/>
      <c r="C90" s="1102"/>
      <c r="D90" s="1103"/>
      <c r="E90" s="1103"/>
      <c r="F90" s="1103"/>
      <c r="G90" s="1103"/>
      <c r="H90" s="1103"/>
      <c r="I90" s="1103"/>
      <c r="J90" s="1103"/>
      <c r="K90" s="1103"/>
      <c r="L90" s="1103"/>
      <c r="M90" s="1121"/>
      <c r="N90" s="261"/>
      <c r="O90" s="518"/>
      <c r="P90" s="1599"/>
      <c r="Q90" s="1585"/>
      <c r="R90" s="1077"/>
      <c r="S90" s="1051"/>
      <c r="T90" s="1051"/>
      <c r="U90" s="1051"/>
      <c r="V90" s="1051"/>
      <c r="W90" s="1051"/>
      <c r="X90" s="1051"/>
      <c r="Y90" s="1051"/>
      <c r="Z90" s="1051"/>
      <c r="AA90" s="713"/>
      <c r="AB90" s="713"/>
      <c r="AC90" s="713"/>
      <c r="AD90" s="713"/>
      <c r="AE90" s="713"/>
      <c r="AF90" s="230"/>
      <c r="AG90" s="230"/>
      <c r="AH90" s="265"/>
      <c r="AI90" s="265"/>
    </row>
    <row r="91" spans="1:53" ht="16.5" hidden="1" customHeight="1" thickTop="1" x14ac:dyDescent="0.25">
      <c r="A91" s="1118" t="s">
        <v>531</v>
      </c>
      <c r="B91" s="1109"/>
      <c r="C91" s="1109"/>
      <c r="D91" s="1110"/>
      <c r="E91" s="1110"/>
      <c r="F91" s="1110"/>
      <c r="G91" s="1110"/>
      <c r="H91" s="1110"/>
      <c r="I91" s="1110"/>
      <c r="J91" s="1110"/>
      <c r="K91" s="1110"/>
      <c r="L91" s="1110"/>
      <c r="M91" s="1124" t="e">
        <f>IF(AND(SetUp!C4="Yes",L104="Yes",#REF!="Yes"),AR101,IF(AND(SetUp!C4="Yes",L104="No",#REF!="Yes"),AR78," "))</f>
        <v>#REF!</v>
      </c>
      <c r="N91" s="301"/>
      <c r="O91" s="518"/>
      <c r="P91" s="1599"/>
      <c r="Q91" s="1585"/>
      <c r="R91" s="1077"/>
      <c r="S91" s="1051"/>
      <c r="T91" s="1051"/>
      <c r="U91" s="1051"/>
      <c r="V91" s="1051"/>
      <c r="W91" s="1051"/>
      <c r="X91" s="1051"/>
      <c r="Y91" s="1051"/>
      <c r="Z91" s="1051"/>
      <c r="AA91" s="713"/>
      <c r="AB91" s="713"/>
      <c r="AC91" s="713"/>
      <c r="AD91" s="713"/>
      <c r="AE91" s="713"/>
      <c r="AF91" s="230"/>
      <c r="AG91" s="230"/>
      <c r="AH91" s="265"/>
      <c r="AI91" s="265"/>
    </row>
    <row r="92" spans="1:53" ht="5.25" hidden="1" customHeight="1" x14ac:dyDescent="0.25">
      <c r="A92" s="1122"/>
      <c r="B92" s="1109"/>
      <c r="C92" s="1109"/>
      <c r="D92" s="1110"/>
      <c r="E92" s="1110"/>
      <c r="F92" s="1110"/>
      <c r="G92" s="1110"/>
      <c r="H92" s="1110"/>
      <c r="I92" s="1106"/>
      <c r="J92" s="1106"/>
      <c r="K92" s="1106"/>
      <c r="L92" s="1107"/>
      <c r="M92" s="1125"/>
      <c r="N92" s="301"/>
      <c r="O92" s="518"/>
      <c r="P92" s="1599"/>
      <c r="Q92" s="1585"/>
      <c r="R92" s="1077"/>
      <c r="S92" s="1051"/>
      <c r="T92" s="1051"/>
      <c r="U92" s="1051"/>
      <c r="V92" s="1051"/>
      <c r="W92" s="1051"/>
      <c r="X92" s="1051"/>
      <c r="Y92" s="1051"/>
      <c r="Z92" s="1051"/>
      <c r="AA92" s="713"/>
      <c r="AB92" s="713"/>
      <c r="AC92" s="713"/>
      <c r="AD92" s="713"/>
      <c r="AE92" s="713"/>
      <c r="AF92" s="230"/>
      <c r="AG92" s="230"/>
      <c r="AH92" s="265"/>
      <c r="AI92" s="265"/>
    </row>
    <row r="93" spans="1:53" ht="16.5" hidden="1" customHeight="1" x14ac:dyDescent="0.25">
      <c r="A93" s="1118"/>
      <c r="B93" s="1126" t="e">
        <f>IF(#REF!="Yes", "Combined F&amp;A Rate", " ")</f>
        <v>#REF!</v>
      </c>
      <c r="C93" s="1126"/>
      <c r="D93" s="1127" t="e">
        <f>IF(#REF!="Yes", AS77, " ")</f>
        <v>#REF!</v>
      </c>
      <c r="E93" s="1128"/>
      <c r="F93" s="1128"/>
      <c r="G93" s="1110"/>
      <c r="H93" s="1110"/>
      <c r="I93" s="1112" t="e">
        <f>IF(#REF!="Yes", "Amount of Base Subtotal", " ")</f>
        <v>#REF!</v>
      </c>
      <c r="J93" s="1112"/>
      <c r="K93" s="1112"/>
      <c r="L93" s="1113" t="e">
        <f>IF(#REF!="No"," ",M85+M89)</f>
        <v>#REF!</v>
      </c>
      <c r="M93" s="1129"/>
      <c r="N93" s="301"/>
      <c r="O93" s="518"/>
      <c r="P93" s="1599"/>
      <c r="Q93" s="1585"/>
      <c r="R93" s="1077"/>
      <c r="S93" s="1051"/>
      <c r="T93" s="1051"/>
      <c r="U93" s="1051"/>
      <c r="V93" s="1051"/>
      <c r="W93" s="1051"/>
      <c r="X93" s="1051"/>
      <c r="Y93" s="1051"/>
      <c r="Z93" s="1051"/>
      <c r="AA93" s="713"/>
      <c r="AB93" s="713"/>
      <c r="AC93" s="713"/>
      <c r="AD93" s="713"/>
      <c r="AE93" s="713"/>
      <c r="AF93" s="230"/>
      <c r="AG93" s="230"/>
      <c r="AH93" s="265"/>
      <c r="AI93" s="265"/>
    </row>
    <row r="94" spans="1:53" ht="16.5" hidden="1" customHeight="1" x14ac:dyDescent="0.25">
      <c r="A94" s="1130" t="s">
        <v>156</v>
      </c>
      <c r="B94" s="1131"/>
      <c r="C94" s="1131"/>
      <c r="D94" s="1132"/>
      <c r="E94" s="1132"/>
      <c r="F94" s="1132"/>
      <c r="G94" s="1132"/>
      <c r="H94" s="1132"/>
      <c r="I94" s="1132"/>
      <c r="J94" s="1132"/>
      <c r="K94" s="1132"/>
      <c r="L94" s="1132"/>
      <c r="M94" s="1133" t="e">
        <f>IF(AND(SetUp!C4="Yes",L104="Yes",#REF!="Yes"),M87+M91, IF(AND(SetUp!C4="Yes", L104="No",#REF!= "Yes"), M87+M91, " "))</f>
        <v>#REF!</v>
      </c>
      <c r="N94" s="301"/>
      <c r="O94" s="518"/>
      <c r="P94" s="1599"/>
      <c r="Q94" s="1585"/>
      <c r="R94" s="1077"/>
      <c r="S94" s="1051"/>
      <c r="T94" s="1051"/>
      <c r="U94" s="1051"/>
      <c r="V94" s="1051"/>
      <c r="W94" s="1051"/>
      <c r="X94" s="1051"/>
      <c r="Y94" s="1051"/>
      <c r="Z94" s="1051"/>
      <c r="AA94" s="713"/>
      <c r="AB94" s="713"/>
      <c r="AC94" s="713"/>
      <c r="AD94" s="713"/>
      <c r="AE94" s="713"/>
      <c r="AF94" s="230"/>
      <c r="AG94" s="230"/>
      <c r="AH94" s="265"/>
      <c r="AI94" s="265"/>
      <c r="AO94" s="127" t="s">
        <v>193</v>
      </c>
      <c r="AS94" s="121">
        <f>O81</f>
        <v>0</v>
      </c>
    </row>
    <row r="95" spans="1:53" ht="16.5" customHeight="1" thickTop="1" x14ac:dyDescent="0.25">
      <c r="A95" s="225"/>
      <c r="B95" s="226"/>
      <c r="C95" s="226"/>
      <c r="D95" s="262"/>
      <c r="E95" s="262"/>
      <c r="F95" s="262"/>
      <c r="G95" s="262"/>
      <c r="H95" s="262"/>
      <c r="I95" s="262"/>
      <c r="J95" s="262"/>
      <c r="K95" s="262"/>
      <c r="L95" s="415"/>
      <c r="M95" s="22"/>
      <c r="N95" s="301"/>
      <c r="O95" s="416"/>
      <c r="P95" s="1599"/>
      <c r="Q95" s="1585"/>
      <c r="R95" s="1077"/>
      <c r="S95" s="1051"/>
      <c r="T95" s="1051"/>
      <c r="U95" s="1051"/>
      <c r="V95" s="1051"/>
      <c r="W95" s="1051"/>
      <c r="X95" s="1051"/>
      <c r="Y95" s="1051"/>
      <c r="Z95" s="1051"/>
      <c r="AA95" s="713"/>
      <c r="AB95" s="713"/>
      <c r="AC95" s="713"/>
      <c r="AD95" s="713"/>
      <c r="AE95" s="713"/>
      <c r="AF95" s="230"/>
      <c r="AG95" s="230"/>
      <c r="AH95" s="265"/>
      <c r="AI95" s="265"/>
      <c r="AN95" s="13"/>
      <c r="AO95" s="127" t="s">
        <v>192</v>
      </c>
      <c r="AP95" s="13"/>
      <c r="AQ95" s="14"/>
      <c r="AR95" s="4"/>
      <c r="AS95" s="128">
        <f>AS82</f>
        <v>0</v>
      </c>
    </row>
    <row r="96" spans="1:53" ht="16.5" customHeight="1" thickBot="1" x14ac:dyDescent="0.3">
      <c r="A96" s="1209" t="s">
        <v>49</v>
      </c>
      <c r="B96" s="342"/>
      <c r="C96" s="342"/>
      <c r="D96" s="301"/>
      <c r="E96" s="301"/>
      <c r="F96" s="301"/>
      <c r="G96" s="301"/>
      <c r="H96" s="301"/>
      <c r="I96" s="301"/>
      <c r="J96" s="301"/>
      <c r="K96" s="301"/>
      <c r="L96" s="301"/>
      <c r="M96" s="22"/>
      <c r="N96" s="301"/>
      <c r="O96" s="338"/>
      <c r="P96" s="1601"/>
      <c r="Q96" s="1602"/>
      <c r="R96" s="1078"/>
      <c r="S96" s="1053"/>
      <c r="T96" s="1053"/>
      <c r="U96" s="1053"/>
      <c r="V96" s="1053"/>
      <c r="W96" s="1053"/>
      <c r="X96" s="1053"/>
      <c r="Y96" s="1053"/>
      <c r="Z96" s="1053"/>
      <c r="AA96" s="732"/>
      <c r="AB96" s="732"/>
      <c r="AC96" s="732"/>
      <c r="AD96" s="732"/>
      <c r="AE96" s="732"/>
      <c r="AF96" s="326"/>
      <c r="AG96" s="326"/>
      <c r="AH96" s="510"/>
      <c r="AI96" s="510"/>
      <c r="AJ96" s="13"/>
      <c r="AK96" s="13"/>
      <c r="AL96" s="13"/>
      <c r="AM96" s="13"/>
      <c r="AN96" s="13"/>
      <c r="AO96" s="127" t="s">
        <v>163</v>
      </c>
      <c r="AP96" s="13"/>
      <c r="AQ96" s="13"/>
      <c r="AS96" s="158">
        <f>IF(AS95&gt;AS94, 0, AS94-AS95)</f>
        <v>0</v>
      </c>
      <c r="AT96" s="326"/>
      <c r="AU96" s="326"/>
      <c r="AV96" s="326"/>
      <c r="AW96" s="326"/>
      <c r="AX96" s="326"/>
      <c r="AY96" s="326"/>
      <c r="AZ96" s="326"/>
      <c r="BA96" s="326"/>
    </row>
    <row r="97" spans="1:84" ht="16.5" customHeight="1" thickTop="1" thickBot="1" x14ac:dyDescent="0.3">
      <c r="A97" s="1171" t="s">
        <v>24</v>
      </c>
      <c r="B97" s="411">
        <f>IF(AND(SetUp!C4="Yes",L104="Yes"),O81-M59-J73-O71-O51-O31+O175+O131,IF(AND(SetUp!C4="Yes",L104="No"),M80-M59-J73-O71-O51-O31+O175+O131, O76-O222-O223-O224))</f>
        <v>0</v>
      </c>
      <c r="C97" s="1323"/>
      <c r="D97" s="301"/>
      <c r="E97" s="301"/>
      <c r="F97" s="301"/>
      <c r="H97" s="301"/>
      <c r="J97" s="1171" t="s">
        <v>52</v>
      </c>
      <c r="K97" s="1095">
        <v>0.69</v>
      </c>
      <c r="M97" s="1" t="s">
        <v>576</v>
      </c>
      <c r="N97" s="1202" t="s">
        <v>48</v>
      </c>
      <c r="O97" s="1324">
        <f>B97*K97</f>
        <v>0</v>
      </c>
      <c r="P97" s="1603"/>
      <c r="Q97" s="1604"/>
      <c r="R97" s="1078"/>
      <c r="S97" s="1053"/>
      <c r="T97" s="1053"/>
      <c r="U97" s="1053"/>
      <c r="V97" s="1053"/>
      <c r="W97" s="1053"/>
      <c r="X97" s="1053"/>
      <c r="Y97" s="1053"/>
      <c r="Z97" s="1053"/>
      <c r="AA97" s="732"/>
      <c r="AB97" s="732"/>
      <c r="AC97" s="732"/>
      <c r="AD97" s="732"/>
      <c r="AE97" s="732"/>
      <c r="AF97" s="326"/>
      <c r="AG97" s="326"/>
      <c r="AH97" s="510"/>
      <c r="AI97" s="510"/>
      <c r="AJ97" s="13"/>
      <c r="AK97" s="13"/>
      <c r="AL97" s="13"/>
      <c r="AM97" s="13"/>
      <c r="AO97" s="126" t="s">
        <v>164</v>
      </c>
      <c r="AQ97" s="125" t="e">
        <f>AQ76/AS76</f>
        <v>#DIV/0!</v>
      </c>
      <c r="AR97" s="125" t="e">
        <f>AR76/AS76</f>
        <v>#DIV/0!</v>
      </c>
      <c r="AS97" s="152" t="e">
        <f>AQ97+AR97</f>
        <v>#DIV/0!</v>
      </c>
      <c r="AT97" s="326"/>
      <c r="AU97" s="326"/>
      <c r="AV97" s="326"/>
      <c r="AW97" s="326"/>
      <c r="AX97" s="326"/>
      <c r="AY97" s="326"/>
      <c r="AZ97" s="326"/>
      <c r="BA97" s="326"/>
    </row>
    <row r="98" spans="1:84" ht="16.5" customHeight="1" thickTop="1" thickBot="1" x14ac:dyDescent="0.3">
      <c r="A98" s="225"/>
      <c r="B98" s="226"/>
      <c r="C98" s="226"/>
      <c r="D98" s="262"/>
      <c r="E98" s="262"/>
      <c r="F98" s="262"/>
      <c r="G98" s="262"/>
      <c r="H98" s="262"/>
      <c r="I98" s="262"/>
      <c r="J98" s="262"/>
      <c r="K98" s="262"/>
      <c r="L98" s="415"/>
      <c r="M98" s="1097"/>
      <c r="N98" s="301"/>
      <c r="O98" s="416"/>
      <c r="P98" s="1599"/>
      <c r="Q98" s="1585"/>
      <c r="R98" s="1077"/>
      <c r="S98" s="1051"/>
      <c r="T98" s="1051"/>
      <c r="U98" s="1051"/>
      <c r="V98" s="1051"/>
      <c r="W98" s="1051"/>
      <c r="X98" s="1051"/>
      <c r="Y98" s="1051"/>
      <c r="Z98" s="1051"/>
      <c r="AA98" s="713"/>
      <c r="AB98" s="713"/>
      <c r="AC98" s="713"/>
      <c r="AD98" s="713"/>
      <c r="AE98" s="713"/>
      <c r="AF98" s="230"/>
      <c r="AG98" s="230"/>
      <c r="AH98" s="265"/>
      <c r="AI98" s="265"/>
    </row>
    <row r="99" spans="1:84" ht="16.5" customHeight="1" x14ac:dyDescent="0.25">
      <c r="A99" s="1202" t="s">
        <v>18</v>
      </c>
      <c r="B99" s="418"/>
      <c r="C99" s="418"/>
      <c r="D99" s="419"/>
      <c r="E99" s="419"/>
      <c r="F99" s="419"/>
      <c r="G99" s="419"/>
      <c r="H99" s="419"/>
      <c r="I99" s="419"/>
      <c r="J99" s="419"/>
      <c r="K99" s="419"/>
      <c r="L99" s="420"/>
      <c r="M99" s="421"/>
      <c r="N99" s="421"/>
      <c r="O99" s="422">
        <f>IF(AND(SetUp!C4="Yes",L104="Yes",L270="No"),O81+N59+O97,IF(AND(SetUp!C4="Yes",L104="Yes",L270="Yes"),O81+N59+M94,IF(AND(SetUp!C4="Yes",L104="No",L270="Yes"),O76+M94,IF(AND(SetUp!C4="No", L104="No",L270= "No"),O76+O97, O76+O97))))</f>
        <v>0</v>
      </c>
      <c r="P99" s="1599"/>
      <c r="Q99" s="1585"/>
      <c r="R99" s="1077"/>
      <c r="S99" s="1051"/>
      <c r="T99" s="1051"/>
      <c r="U99" s="1051"/>
      <c r="V99" s="1051"/>
      <c r="W99" s="1051"/>
      <c r="X99" s="1051"/>
      <c r="Y99" s="1051"/>
      <c r="Z99" s="1051"/>
      <c r="AA99" s="713"/>
      <c r="AB99" s="129"/>
      <c r="AC99" s="713"/>
      <c r="AD99" s="713"/>
      <c r="AE99" s="713"/>
      <c r="AF99" s="230"/>
      <c r="AG99" s="230"/>
      <c r="AH99" s="265"/>
      <c r="AI99" s="265"/>
      <c r="AO99" s="126" t="s">
        <v>184</v>
      </c>
      <c r="AQ99" s="4" t="e">
        <f>AQ76+#REF!</f>
        <v>#REF!</v>
      </c>
      <c r="AR99" s="4" t="e">
        <f>AR76+#REF!</f>
        <v>#REF!</v>
      </c>
      <c r="AS99" s="4" t="e">
        <f>AQ99+AR99</f>
        <v>#REF!</v>
      </c>
    </row>
    <row r="100" spans="1:84" ht="16.5" customHeight="1" x14ac:dyDescent="0.25">
      <c r="A100" s="617"/>
      <c r="B100" s="618"/>
      <c r="C100" s="618"/>
      <c r="D100" s="230"/>
      <c r="E100" s="230"/>
      <c r="F100" s="866"/>
      <c r="G100" s="230"/>
      <c r="H100" s="230"/>
      <c r="I100" s="230"/>
      <c r="J100" s="866"/>
      <c r="K100" s="866"/>
      <c r="L100" s="230"/>
      <c r="M100" s="619"/>
      <c r="N100" s="619"/>
      <c r="O100" s="620"/>
      <c r="P100" s="1599"/>
      <c r="Q100" s="1585"/>
      <c r="R100" s="1077"/>
      <c r="S100" s="1051"/>
      <c r="T100" s="1051"/>
      <c r="U100" s="1051"/>
      <c r="V100" s="1051"/>
      <c r="W100" s="1051"/>
      <c r="X100" s="1051"/>
      <c r="Y100" s="1051"/>
      <c r="Z100" s="1051"/>
      <c r="AA100" s="713"/>
      <c r="AB100" s="129"/>
      <c r="AC100" s="713"/>
      <c r="AD100" s="713"/>
      <c r="AE100" s="713"/>
      <c r="AF100" s="230"/>
      <c r="AG100" s="230"/>
      <c r="AH100" s="265"/>
      <c r="AI100" s="265"/>
      <c r="AO100" s="1" t="s">
        <v>179</v>
      </c>
      <c r="AQ100" s="101">
        <f>M86</f>
        <v>0</v>
      </c>
      <c r="AR100" s="101">
        <f>M90</f>
        <v>0</v>
      </c>
      <c r="AS100" s="154" t="e">
        <f>#REF!</f>
        <v>#REF!</v>
      </c>
    </row>
    <row r="101" spans="1:84" ht="14.4" thickBot="1" x14ac:dyDescent="0.3">
      <c r="A101" s="621"/>
      <c r="B101" s="622"/>
      <c r="C101" s="844"/>
      <c r="D101" s="623"/>
      <c r="E101" s="623"/>
      <c r="F101" s="845"/>
      <c r="G101" s="623"/>
      <c r="H101" s="623"/>
      <c r="I101" s="623"/>
      <c r="J101" s="845"/>
      <c r="K101" s="845"/>
      <c r="L101" s="623"/>
      <c r="M101" s="623"/>
      <c r="N101" s="623"/>
      <c r="O101" s="623"/>
      <c r="P101" s="1599"/>
      <c r="Q101" s="1585"/>
      <c r="R101" s="1077"/>
      <c r="S101" s="1051"/>
      <c r="T101" s="1051"/>
      <c r="U101" s="1051"/>
      <c r="V101" s="1051"/>
      <c r="W101" s="1051"/>
      <c r="X101" s="1051"/>
      <c r="Y101" s="1051"/>
      <c r="Z101" s="1051"/>
      <c r="AA101" s="713"/>
      <c r="AB101" s="129"/>
      <c r="AC101" s="713"/>
      <c r="AD101" s="713"/>
      <c r="AE101" s="713"/>
      <c r="AF101" s="230"/>
      <c r="AG101" s="230"/>
      <c r="AH101" s="265"/>
      <c r="AI101" s="265"/>
      <c r="AO101" s="153" t="s">
        <v>182</v>
      </c>
      <c r="AP101" s="2"/>
      <c r="AQ101" s="121" t="e">
        <f>AQ78+#REF!</f>
        <v>#REF!</v>
      </c>
      <c r="AR101" s="121" t="e">
        <f>AR78+#REF!</f>
        <v>#REF!</v>
      </c>
      <c r="AS101" s="121" t="e">
        <f>AQ101+AR101</f>
        <v>#REF!</v>
      </c>
    </row>
    <row r="102" spans="1:84" x14ac:dyDescent="0.25">
      <c r="A102" s="863" t="s">
        <v>441</v>
      </c>
      <c r="B102" s="624"/>
      <c r="C102" s="864"/>
      <c r="D102" s="625"/>
      <c r="E102" s="625"/>
      <c r="F102" s="865"/>
      <c r="G102" s="625"/>
      <c r="H102" s="625"/>
      <c r="I102" s="625"/>
      <c r="J102" s="865"/>
      <c r="K102" s="865"/>
      <c r="L102" s="625"/>
      <c r="M102" s="625"/>
      <c r="N102" s="625"/>
      <c r="O102" s="625"/>
      <c r="P102" s="1599"/>
      <c r="Q102" s="1585"/>
      <c r="R102" s="1077"/>
      <c r="S102" s="1051"/>
      <c r="T102" s="1051"/>
      <c r="U102" s="1051"/>
      <c r="V102" s="1051"/>
      <c r="W102" s="1051"/>
      <c r="X102" s="1051"/>
      <c r="Y102" s="1051"/>
      <c r="Z102" s="1051"/>
      <c r="AA102" s="866"/>
      <c r="AC102" s="230"/>
      <c r="AD102" s="265"/>
      <c r="AE102" s="265"/>
      <c r="AF102" s="230"/>
      <c r="AG102" s="230"/>
      <c r="AH102" s="265"/>
      <c r="AI102" s="265"/>
      <c r="AQ102" s="129" t="e">
        <f>#REF!*#REF!</f>
        <v>#REF!</v>
      </c>
      <c r="AR102" s="129" t="e">
        <f>#REF!*#REF!</f>
        <v>#REF!</v>
      </c>
      <c r="AS102" s="129" t="e">
        <f>#REF!*#REF!</f>
        <v>#REF!</v>
      </c>
    </row>
    <row r="103" spans="1:84" ht="25.5" customHeight="1" thickBot="1" x14ac:dyDescent="0.4">
      <c r="A103" s="832" t="s">
        <v>371</v>
      </c>
      <c r="B103" s="453"/>
      <c r="C103" s="453"/>
      <c r="D103" s="328"/>
      <c r="E103" s="328"/>
      <c r="F103" s="328"/>
      <c r="G103" s="328"/>
      <c r="H103" s="328"/>
      <c r="I103" s="328"/>
      <c r="J103" s="328"/>
      <c r="K103" s="328"/>
      <c r="L103" s="328"/>
      <c r="M103" s="328"/>
      <c r="N103" s="328"/>
      <c r="O103" s="443"/>
      <c r="P103" s="708"/>
      <c r="Q103" s="1585"/>
      <c r="R103" s="1077"/>
      <c r="S103" s="866"/>
      <c r="T103" s="866"/>
      <c r="U103" s="866"/>
      <c r="V103" s="866"/>
      <c r="W103" s="866"/>
      <c r="X103" s="866"/>
      <c r="Y103" s="866"/>
      <c r="Z103" s="866"/>
      <c r="AA103" s="866"/>
      <c r="AC103" s="230"/>
      <c r="AD103" s="265"/>
      <c r="AE103" s="265"/>
      <c r="AF103" s="230"/>
      <c r="AG103" s="230"/>
      <c r="AH103" s="265"/>
      <c r="AI103" s="265"/>
      <c r="AO103" s="126" t="s">
        <v>183</v>
      </c>
      <c r="AQ103" s="125" t="e">
        <f>AQ221/AS221</f>
        <v>#DIV/0!</v>
      </c>
      <c r="AR103" s="125" t="e">
        <f>AR221/AS221</f>
        <v>#DIV/0!</v>
      </c>
      <c r="AS103" s="154" t="e">
        <f>AQ103+AR103</f>
        <v>#DIV/0!</v>
      </c>
    </row>
    <row r="104" spans="1:84" ht="15" thickTop="1" thickBot="1" x14ac:dyDescent="0.3">
      <c r="A104" s="1226" t="s">
        <v>372</v>
      </c>
      <c r="B104" s="319"/>
      <c r="C104" s="320"/>
      <c r="D104" s="320"/>
      <c r="E104" s="320"/>
      <c r="F104" s="320"/>
      <c r="G104" s="320"/>
      <c r="H104" s="320"/>
      <c r="I104" s="320"/>
      <c r="J104" s="320"/>
      <c r="K104" s="320"/>
      <c r="L104" s="321" t="s">
        <v>60</v>
      </c>
      <c r="M104" s="320"/>
      <c r="N104" s="320"/>
      <c r="O104" s="1094" t="s">
        <v>271</v>
      </c>
      <c r="P104" s="731"/>
      <c r="Q104" s="1602"/>
      <c r="R104" s="1078"/>
      <c r="S104" s="326"/>
      <c r="T104" s="326"/>
      <c r="U104" s="326"/>
      <c r="V104" s="326"/>
      <c r="W104" s="326"/>
      <c r="X104" s="326"/>
      <c r="Y104" s="866"/>
      <c r="Z104" s="866"/>
      <c r="AA104" s="866"/>
      <c r="AC104" s="230"/>
      <c r="AD104" s="265"/>
      <c r="AE104" s="265"/>
      <c r="AF104" s="230"/>
      <c r="AG104" s="230"/>
      <c r="AH104" s="265"/>
      <c r="AI104" s="265"/>
    </row>
    <row r="105" spans="1:84" s="13" customFormat="1" ht="14.4" thickTop="1" x14ac:dyDescent="0.25">
      <c r="A105" s="319" t="s">
        <v>320</v>
      </c>
      <c r="B105" s="319"/>
      <c r="C105" s="319"/>
      <c r="D105" s="320"/>
      <c r="E105" s="320"/>
      <c r="F105" s="320"/>
      <c r="G105" s="320"/>
      <c r="H105" s="320"/>
      <c r="I105" s="320"/>
      <c r="J105" s="320"/>
      <c r="K105" s="320"/>
      <c r="L105" s="320"/>
      <c r="M105" s="320"/>
      <c r="N105" s="320"/>
      <c r="O105" s="320"/>
      <c r="P105" s="731"/>
      <c r="Q105" s="1602"/>
      <c r="R105" s="1078"/>
      <c r="S105" s="326"/>
      <c r="T105" s="326"/>
      <c r="U105" s="326"/>
      <c r="V105" s="326"/>
      <c r="W105" s="326"/>
      <c r="X105" s="326"/>
      <c r="Y105" s="326"/>
      <c r="Z105" s="326"/>
      <c r="AA105" s="326"/>
      <c r="AC105" s="326"/>
      <c r="AD105" s="510"/>
      <c r="AE105" s="510"/>
      <c r="AF105" s="326"/>
      <c r="AG105" s="326"/>
      <c r="AH105" s="510"/>
      <c r="AI105" s="510"/>
      <c r="AT105" s="326"/>
      <c r="AU105" s="326"/>
      <c r="AV105" s="326"/>
      <c r="AW105" s="326"/>
      <c r="AX105" s="326"/>
      <c r="AY105" s="326"/>
      <c r="AZ105" s="326"/>
      <c r="BA105" s="326"/>
      <c r="BB105" s="326"/>
      <c r="BC105" s="326"/>
      <c r="BD105" s="326"/>
      <c r="BE105" s="326"/>
      <c r="BF105" s="326"/>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row>
    <row r="106" spans="1:84" s="13" customFormat="1" x14ac:dyDescent="0.25">
      <c r="A106" s="1226" t="s">
        <v>321</v>
      </c>
      <c r="B106" s="319"/>
      <c r="C106" s="319"/>
      <c r="D106" s="320"/>
      <c r="E106" s="320"/>
      <c r="F106" s="320"/>
      <c r="G106" s="320"/>
      <c r="H106" s="320"/>
      <c r="I106" s="320"/>
      <c r="J106" s="320"/>
      <c r="K106" s="320"/>
      <c r="L106" s="320"/>
      <c r="M106" s="320"/>
      <c r="N106" s="320"/>
      <c r="O106" s="320"/>
      <c r="P106" s="731"/>
      <c r="Q106" s="1602"/>
      <c r="R106" s="1078"/>
      <c r="S106" s="326"/>
      <c r="T106" s="326"/>
      <c r="U106" s="326"/>
      <c r="V106" s="326"/>
      <c r="W106" s="326"/>
      <c r="X106" s="326"/>
      <c r="Y106" s="326"/>
      <c r="Z106" s="326"/>
      <c r="AA106" s="326"/>
      <c r="AC106" s="326"/>
      <c r="AD106" s="510"/>
      <c r="AE106" s="510"/>
      <c r="AF106" s="326"/>
      <c r="AG106" s="326"/>
      <c r="AH106" s="510"/>
      <c r="AI106" s="510"/>
      <c r="AT106" s="326"/>
      <c r="AU106" s="326"/>
      <c r="AV106" s="326"/>
      <c r="AW106" s="326"/>
      <c r="AX106" s="326"/>
      <c r="AY106" s="326"/>
      <c r="AZ106" s="326"/>
      <c r="BA106" s="326"/>
      <c r="BB106" s="326"/>
      <c r="BC106" s="326"/>
      <c r="BD106" s="326"/>
      <c r="BE106" s="326"/>
      <c r="BF106" s="326"/>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row>
    <row r="107" spans="1:84" s="15" customFormat="1" ht="15" customHeight="1" thickBot="1" x14ac:dyDescent="0.3">
      <c r="A107" s="453"/>
      <c r="B107" s="453"/>
      <c r="C107" s="453"/>
      <c r="D107" s="328"/>
      <c r="E107" s="328"/>
      <c r="F107" s="328"/>
      <c r="G107" s="328"/>
      <c r="H107" s="328"/>
      <c r="I107" s="328"/>
      <c r="J107" s="328"/>
      <c r="K107" s="328"/>
      <c r="L107" s="328"/>
      <c r="M107" s="328"/>
      <c r="N107" s="328"/>
      <c r="O107" s="328"/>
      <c r="P107" s="731"/>
      <c r="Q107" s="1602"/>
      <c r="R107" s="1078"/>
      <c r="S107" s="326"/>
      <c r="T107" s="326"/>
      <c r="U107" s="326"/>
      <c r="V107" s="326"/>
      <c r="W107" s="326"/>
      <c r="X107" s="326"/>
      <c r="Y107" s="328"/>
      <c r="Z107" s="328"/>
      <c r="AA107" s="328"/>
      <c r="AC107" s="328"/>
      <c r="AD107" s="512"/>
      <c r="AE107" s="512"/>
      <c r="AF107" s="328"/>
      <c r="AG107" s="328"/>
      <c r="AH107" s="512"/>
      <c r="AI107" s="512"/>
      <c r="AT107" s="328"/>
      <c r="AU107" s="328"/>
      <c r="AV107" s="328"/>
      <c r="AW107" s="328"/>
      <c r="AX107" s="328"/>
      <c r="AY107" s="328"/>
      <c r="AZ107" s="328"/>
      <c r="BA107" s="328"/>
      <c r="BB107" s="328"/>
      <c r="BC107" s="328"/>
      <c r="BD107" s="328"/>
      <c r="BE107" s="328"/>
      <c r="BF107" s="328"/>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row>
    <row r="108" spans="1:84" s="15" customFormat="1" ht="15" customHeight="1" thickTop="1" thickBot="1" x14ac:dyDescent="0.3">
      <c r="A108" s="1226" t="s">
        <v>560</v>
      </c>
      <c r="B108" s="319"/>
      <c r="C108" s="319"/>
      <c r="D108" s="320"/>
      <c r="E108" s="320"/>
      <c r="F108" s="320"/>
      <c r="G108" s="438"/>
      <c r="H108" s="438"/>
      <c r="I108" s="320"/>
      <c r="J108" s="320"/>
      <c r="K108" s="320"/>
      <c r="L108" s="321" t="s">
        <v>60</v>
      </c>
      <c r="M108" s="320"/>
      <c r="N108" s="320"/>
      <c r="O108" s="1225" t="s">
        <v>272</v>
      </c>
      <c r="P108" s="731"/>
      <c r="Q108" s="1602"/>
      <c r="R108" s="1078"/>
      <c r="S108" s="326"/>
      <c r="T108" s="326"/>
      <c r="U108" s="326"/>
      <c r="V108" s="326"/>
      <c r="W108" s="326"/>
      <c r="X108" s="326"/>
      <c r="Y108" s="328"/>
      <c r="Z108" s="328"/>
      <c r="AA108" s="328"/>
      <c r="AC108" s="328"/>
      <c r="AD108" s="512"/>
      <c r="AE108" s="512"/>
      <c r="AF108" s="328"/>
      <c r="AG108" s="328"/>
      <c r="AH108" s="512"/>
      <c r="AI108" s="512"/>
      <c r="AT108" s="328"/>
      <c r="AU108" s="328"/>
      <c r="AV108" s="328"/>
      <c r="AW108" s="328"/>
      <c r="AX108" s="328"/>
      <c r="AY108" s="328"/>
      <c r="AZ108" s="328"/>
      <c r="BA108" s="328"/>
      <c r="BB108" s="328"/>
      <c r="BC108" s="328"/>
      <c r="BD108" s="328"/>
      <c r="BE108" s="328"/>
      <c r="BF108" s="328"/>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row>
    <row r="109" spans="1:84" ht="16.2" customHeight="1" thickTop="1" x14ac:dyDescent="0.25">
      <c r="A109" s="1093" t="s">
        <v>322</v>
      </c>
      <c r="B109" s="438"/>
      <c r="C109" s="438"/>
      <c r="D109" s="438"/>
      <c r="E109" s="438"/>
      <c r="F109" s="438"/>
      <c r="G109" s="438"/>
      <c r="H109" s="438"/>
      <c r="I109" s="438"/>
      <c r="J109" s="438"/>
      <c r="K109" s="438"/>
      <c r="L109" s="439"/>
      <c r="M109" s="438"/>
      <c r="N109" s="438"/>
      <c r="O109" s="320"/>
      <c r="P109" s="731"/>
      <c r="Q109" s="1602"/>
      <c r="R109" s="1078"/>
      <c r="S109" s="326"/>
      <c r="T109" s="326"/>
      <c r="U109" s="326"/>
      <c r="V109" s="326"/>
      <c r="W109" s="326"/>
      <c r="X109" s="326"/>
      <c r="Y109" s="866"/>
      <c r="Z109" s="866"/>
      <c r="AA109" s="866"/>
      <c r="AC109" s="230"/>
      <c r="AD109" s="265"/>
      <c r="AE109" s="265"/>
      <c r="AF109" s="230"/>
      <c r="AG109" s="230"/>
      <c r="AH109" s="265"/>
      <c r="AI109" s="265"/>
    </row>
    <row r="110" spans="1:84" ht="16.2" customHeight="1" thickBot="1" x14ac:dyDescent="0.3">
      <c r="A110" s="1093" t="s">
        <v>323</v>
      </c>
      <c r="B110" s="438"/>
      <c r="C110" s="438"/>
      <c r="D110" s="438"/>
      <c r="E110" s="438"/>
      <c r="F110" s="438"/>
      <c r="G110" s="438"/>
      <c r="H110" s="438"/>
      <c r="I110" s="438"/>
      <c r="J110" s="438"/>
      <c r="K110" s="438"/>
      <c r="L110" s="439"/>
      <c r="M110" s="438"/>
      <c r="N110" s="438"/>
      <c r="O110" s="320"/>
      <c r="P110" s="731"/>
      <c r="Q110" s="1602"/>
      <c r="R110" s="1078"/>
      <c r="S110" s="326"/>
      <c r="T110" s="326"/>
      <c r="U110" s="326"/>
      <c r="V110" s="326"/>
      <c r="W110" s="326"/>
      <c r="X110" s="326"/>
      <c r="Y110" s="866"/>
      <c r="Z110" s="866"/>
      <c r="AA110" s="866"/>
      <c r="AC110" s="230"/>
      <c r="AD110" s="265"/>
      <c r="AE110" s="265"/>
      <c r="AF110" s="230"/>
      <c r="AG110" s="230"/>
      <c r="AH110" s="265"/>
      <c r="AI110" s="265"/>
    </row>
    <row r="111" spans="1:84" ht="16.5" hidden="1" customHeight="1" x14ac:dyDescent="0.25">
      <c r="A111" s="162"/>
      <c r="B111" s="162"/>
      <c r="C111" s="162"/>
      <c r="D111" s="162"/>
      <c r="E111" s="162"/>
      <c r="F111" s="81"/>
      <c r="G111" s="162"/>
      <c r="H111" s="162"/>
      <c r="I111" s="162"/>
      <c r="J111" s="162"/>
      <c r="K111" s="162"/>
      <c r="L111" s="81" t="s">
        <v>194</v>
      </c>
      <c r="M111" s="162"/>
      <c r="N111" s="880"/>
      <c r="O111" s="71"/>
      <c r="P111" s="731"/>
      <c r="Q111" s="1602"/>
      <c r="R111" s="1078"/>
      <c r="S111" s="326"/>
      <c r="T111" s="326"/>
      <c r="U111" s="326"/>
      <c r="V111" s="326"/>
      <c r="W111" s="326"/>
      <c r="X111" s="326"/>
      <c r="Y111" s="866"/>
      <c r="Z111" s="866"/>
      <c r="AA111" s="866"/>
      <c r="AC111" s="230"/>
      <c r="AD111" s="265"/>
      <c r="AE111" s="265"/>
      <c r="AF111" s="230"/>
      <c r="AG111" s="230"/>
      <c r="AH111" s="265"/>
      <c r="AI111" s="265"/>
    </row>
    <row r="112" spans="1:84" ht="16.5" hidden="1" customHeight="1" x14ac:dyDescent="0.25">
      <c r="A112" s="162"/>
      <c r="B112" s="162"/>
      <c r="C112" s="162"/>
      <c r="D112" s="162"/>
      <c r="E112" s="162"/>
      <c r="F112" s="1301"/>
      <c r="G112" s="162"/>
      <c r="H112" s="162"/>
      <c r="I112" s="162"/>
      <c r="J112" s="162"/>
      <c r="K112" s="162"/>
      <c r="L112" s="164"/>
      <c r="M112" s="162"/>
      <c r="N112" s="880"/>
      <c r="O112" s="71"/>
      <c r="P112" s="731"/>
      <c r="Q112" s="1602"/>
      <c r="R112" s="1078"/>
      <c r="S112" s="326"/>
      <c r="T112" s="326"/>
      <c r="U112" s="326"/>
      <c r="V112" s="326"/>
      <c r="W112" s="326"/>
      <c r="X112" s="326"/>
      <c r="Y112" s="866"/>
      <c r="Z112" s="866"/>
      <c r="AA112" s="866"/>
      <c r="AC112" s="230"/>
      <c r="AD112" s="265"/>
      <c r="AE112" s="265"/>
      <c r="AF112" s="230"/>
      <c r="AG112" s="230"/>
      <c r="AH112" s="265"/>
      <c r="AI112" s="265"/>
    </row>
    <row r="113" spans="1:84" ht="16.5" hidden="1" customHeight="1" x14ac:dyDescent="0.25">
      <c r="A113" s="162"/>
      <c r="B113" s="162"/>
      <c r="C113" s="162"/>
      <c r="D113" s="162"/>
      <c r="E113" s="162"/>
      <c r="F113" s="1301"/>
      <c r="G113" s="162"/>
      <c r="H113" s="162"/>
      <c r="I113" s="162"/>
      <c r="J113" s="162"/>
      <c r="K113" s="162"/>
      <c r="L113" s="164">
        <v>75000</v>
      </c>
      <c r="M113" s="162"/>
      <c r="N113" s="880"/>
      <c r="O113" s="71"/>
      <c r="P113" s="731"/>
      <c r="Q113" s="1602"/>
      <c r="R113" s="1078"/>
      <c r="S113" s="326"/>
      <c r="T113" s="326"/>
      <c r="U113" s="326"/>
      <c r="V113" s="326"/>
      <c r="W113" s="326"/>
      <c r="X113" s="326"/>
      <c r="Y113" s="866"/>
      <c r="Z113" s="866"/>
      <c r="AA113" s="866"/>
      <c r="AC113" s="230"/>
      <c r="AD113" s="265"/>
      <c r="AE113" s="265"/>
      <c r="AF113" s="230"/>
      <c r="AG113" s="230"/>
      <c r="AH113" s="265"/>
      <c r="AI113" s="265"/>
    </row>
    <row r="114" spans="1:84" ht="16.5" hidden="1" customHeight="1" x14ac:dyDescent="0.25">
      <c r="A114" s="162"/>
      <c r="B114" s="162"/>
      <c r="C114" s="162"/>
      <c r="D114" s="162"/>
      <c r="E114" s="162"/>
      <c r="F114" s="1301"/>
      <c r="G114" s="162"/>
      <c r="H114" s="162"/>
      <c r="I114" s="162"/>
      <c r="J114" s="162"/>
      <c r="K114" s="162"/>
      <c r="L114" s="164">
        <v>90000</v>
      </c>
      <c r="M114" s="162"/>
      <c r="N114" s="880"/>
      <c r="O114" s="71"/>
      <c r="P114" s="731"/>
      <c r="Q114" s="1602"/>
      <c r="R114" s="1078"/>
      <c r="S114" s="326"/>
      <c r="T114" s="326"/>
      <c r="U114" s="326"/>
      <c r="V114" s="326"/>
      <c r="W114" s="326"/>
      <c r="X114" s="326"/>
      <c r="Y114" s="866"/>
      <c r="Z114" s="866"/>
      <c r="AA114" s="866"/>
      <c r="AC114" s="230"/>
      <c r="AD114" s="265"/>
      <c r="AE114" s="265"/>
      <c r="AF114" s="230"/>
      <c r="AG114" s="230"/>
      <c r="AH114" s="265"/>
      <c r="AI114" s="265"/>
    </row>
    <row r="115" spans="1:84" ht="16.5" hidden="1" customHeight="1" x14ac:dyDescent="0.25">
      <c r="A115" s="162"/>
      <c r="B115" s="162"/>
      <c r="C115" s="162"/>
      <c r="D115" s="162"/>
      <c r="E115" s="162"/>
      <c r="F115" s="1301"/>
      <c r="G115" s="162"/>
      <c r="H115" s="162"/>
      <c r="I115" s="162"/>
      <c r="J115" s="162"/>
      <c r="K115" s="162"/>
      <c r="L115" s="164">
        <v>95000</v>
      </c>
      <c r="M115" s="162"/>
      <c r="N115" s="880"/>
      <c r="O115" s="71"/>
      <c r="P115" s="731"/>
      <c r="Q115" s="1602"/>
      <c r="R115" s="1078"/>
      <c r="S115" s="326"/>
      <c r="T115" s="326"/>
      <c r="U115" s="326"/>
      <c r="V115" s="326"/>
      <c r="W115" s="326"/>
      <c r="X115" s="326"/>
      <c r="Y115" s="866"/>
      <c r="Z115" s="866"/>
      <c r="AA115" s="866"/>
      <c r="AC115" s="230"/>
      <c r="AD115" s="265"/>
      <c r="AE115" s="265"/>
      <c r="AF115" s="230"/>
      <c r="AG115" s="230"/>
      <c r="AH115" s="265"/>
      <c r="AI115" s="265"/>
    </row>
    <row r="116" spans="1:84" ht="16.5" hidden="1" customHeight="1" x14ac:dyDescent="0.25">
      <c r="A116" s="162"/>
      <c r="B116" s="162"/>
      <c r="C116" s="162"/>
      <c r="D116" s="162"/>
      <c r="E116" s="162"/>
      <c r="F116" s="1301"/>
      <c r="G116" s="162"/>
      <c r="H116" s="162"/>
      <c r="I116" s="162"/>
      <c r="J116" s="162"/>
      <c r="K116" s="162"/>
      <c r="L116" s="164">
        <v>100000</v>
      </c>
      <c r="M116" s="162"/>
      <c r="N116" s="880"/>
      <c r="O116" s="71"/>
      <c r="P116" s="731"/>
      <c r="Q116" s="1602"/>
      <c r="R116" s="1078"/>
      <c r="S116" s="326"/>
      <c r="T116" s="326"/>
      <c r="U116" s="326"/>
      <c r="V116" s="326"/>
      <c r="W116" s="326"/>
      <c r="X116" s="326"/>
      <c r="Y116" s="866"/>
      <c r="Z116" s="866"/>
      <c r="AA116" s="866"/>
      <c r="AC116" s="230"/>
      <c r="AD116" s="265"/>
      <c r="AE116" s="265"/>
      <c r="AF116" s="230"/>
      <c r="AG116" s="230"/>
      <c r="AH116" s="265"/>
      <c r="AI116" s="265"/>
    </row>
    <row r="117" spans="1:84" s="867" customFormat="1" ht="16.5" hidden="1" customHeight="1" x14ac:dyDescent="0.25">
      <c r="A117" s="162"/>
      <c r="B117" s="162"/>
      <c r="C117" s="162"/>
      <c r="D117" s="162"/>
      <c r="E117" s="162"/>
      <c r="F117" s="1301"/>
      <c r="G117" s="162"/>
      <c r="H117" s="162"/>
      <c r="I117" s="162"/>
      <c r="J117" s="162"/>
      <c r="K117" s="162"/>
      <c r="L117" s="164">
        <v>185100</v>
      </c>
      <c r="M117" s="162"/>
      <c r="N117" s="880"/>
      <c r="O117" s="71"/>
      <c r="P117" s="731"/>
      <c r="Q117" s="1602"/>
      <c r="R117" s="1078"/>
      <c r="S117" s="326"/>
      <c r="T117" s="326"/>
      <c r="U117" s="326"/>
      <c r="V117" s="326"/>
      <c r="W117" s="326"/>
      <c r="X117" s="326"/>
      <c r="Y117" s="866"/>
      <c r="Z117" s="866"/>
      <c r="AA117" s="866"/>
      <c r="AC117" s="866"/>
      <c r="AD117" s="868"/>
      <c r="AE117" s="868"/>
      <c r="AF117" s="866"/>
      <c r="AG117" s="866"/>
      <c r="AH117" s="868"/>
      <c r="AI117" s="868"/>
      <c r="AT117" s="866"/>
      <c r="AU117" s="866"/>
      <c r="AV117" s="866"/>
      <c r="AW117" s="866"/>
      <c r="AX117" s="866"/>
      <c r="AY117" s="866"/>
      <c r="AZ117" s="866"/>
      <c r="BA117" s="866"/>
      <c r="BB117" s="866"/>
      <c r="BC117" s="866"/>
      <c r="BD117" s="866"/>
      <c r="BE117" s="866"/>
      <c r="BF117" s="866"/>
      <c r="BG117" s="869"/>
      <c r="BH117" s="869"/>
      <c r="BI117" s="869"/>
      <c r="BJ117" s="869"/>
      <c r="BK117" s="869"/>
      <c r="BL117" s="869"/>
      <c r="BM117" s="869"/>
      <c r="BN117" s="869"/>
      <c r="BO117" s="869"/>
      <c r="BP117" s="869"/>
      <c r="BQ117" s="869"/>
      <c r="BR117" s="869"/>
      <c r="BS117" s="869"/>
      <c r="BT117" s="869"/>
      <c r="BU117" s="869"/>
      <c r="BV117" s="869"/>
      <c r="BW117" s="869"/>
      <c r="BX117" s="869"/>
      <c r="BY117" s="869"/>
      <c r="BZ117" s="869"/>
      <c r="CA117" s="869"/>
      <c r="CB117" s="869"/>
      <c r="CC117" s="869"/>
      <c r="CD117" s="869"/>
      <c r="CE117" s="869"/>
      <c r="CF117" s="869"/>
    </row>
    <row r="118" spans="1:84" s="867" customFormat="1" ht="16.5" hidden="1" customHeight="1" x14ac:dyDescent="0.25">
      <c r="A118" s="162"/>
      <c r="B118" s="162"/>
      <c r="C118" s="162"/>
      <c r="D118" s="162"/>
      <c r="E118" s="162"/>
      <c r="F118" s="1301"/>
      <c r="G118" s="162"/>
      <c r="H118" s="162"/>
      <c r="I118" s="162"/>
      <c r="J118" s="162"/>
      <c r="K118" s="162"/>
      <c r="L118" s="164">
        <v>187000</v>
      </c>
      <c r="M118" s="162"/>
      <c r="N118" s="880"/>
      <c r="O118" s="71"/>
      <c r="P118" s="731"/>
      <c r="Q118" s="1602"/>
      <c r="R118" s="1078"/>
      <c r="S118" s="326"/>
      <c r="T118" s="326"/>
      <c r="U118" s="326"/>
      <c r="V118" s="326"/>
      <c r="W118" s="326"/>
      <c r="X118" s="326"/>
      <c r="Y118" s="866"/>
      <c r="Z118" s="866"/>
      <c r="AA118" s="866"/>
      <c r="AC118" s="866"/>
      <c r="AD118" s="868"/>
      <c r="AE118" s="868"/>
      <c r="AF118" s="866"/>
      <c r="AG118" s="866"/>
      <c r="AH118" s="868"/>
      <c r="AI118" s="868"/>
      <c r="AT118" s="866"/>
      <c r="AU118" s="866"/>
      <c r="AV118" s="866"/>
      <c r="AW118" s="866"/>
      <c r="AX118" s="866"/>
      <c r="AY118" s="866"/>
      <c r="AZ118" s="866"/>
      <c r="BA118" s="866"/>
      <c r="BB118" s="866"/>
      <c r="BC118" s="866"/>
      <c r="BD118" s="866"/>
      <c r="BE118" s="866"/>
      <c r="BF118" s="866"/>
      <c r="BG118" s="869"/>
      <c r="BH118" s="869"/>
      <c r="BI118" s="869"/>
      <c r="BJ118" s="869"/>
      <c r="BK118" s="869"/>
      <c r="BL118" s="869"/>
      <c r="BM118" s="869"/>
      <c r="BN118" s="869"/>
      <c r="BO118" s="869"/>
      <c r="BP118" s="869"/>
      <c r="BQ118" s="869"/>
      <c r="BR118" s="869"/>
      <c r="BS118" s="869"/>
      <c r="BT118" s="869"/>
      <c r="BU118" s="869"/>
      <c r="BV118" s="869"/>
      <c r="BW118" s="869"/>
      <c r="BX118" s="869"/>
      <c r="BY118" s="869"/>
      <c r="BZ118" s="869"/>
      <c r="CA118" s="869"/>
      <c r="CB118" s="869"/>
      <c r="CC118" s="869"/>
      <c r="CD118" s="869"/>
      <c r="CE118" s="869"/>
      <c r="CF118" s="869"/>
    </row>
    <row r="119" spans="1:84" s="867" customFormat="1" ht="16.5" hidden="1" customHeight="1" x14ac:dyDescent="0.25">
      <c r="A119" s="162"/>
      <c r="B119" s="162"/>
      <c r="C119" s="162"/>
      <c r="D119" s="162"/>
      <c r="E119" s="162"/>
      <c r="F119" s="1301"/>
      <c r="G119" s="162"/>
      <c r="H119" s="162"/>
      <c r="I119" s="162"/>
      <c r="J119" s="162"/>
      <c r="K119" s="162"/>
      <c r="L119" s="164">
        <v>189600</v>
      </c>
      <c r="M119" s="162"/>
      <c r="N119" s="880"/>
      <c r="O119" s="71"/>
      <c r="P119" s="731"/>
      <c r="Q119" s="1602"/>
      <c r="R119" s="1078"/>
      <c r="S119" s="326"/>
      <c r="T119" s="326"/>
      <c r="U119" s="326"/>
      <c r="V119" s="326"/>
      <c r="W119" s="326"/>
      <c r="X119" s="326"/>
      <c r="Y119" s="866"/>
      <c r="Z119" s="866"/>
      <c r="AA119" s="866"/>
      <c r="AC119" s="866"/>
      <c r="AD119" s="868"/>
      <c r="AE119" s="868"/>
      <c r="AF119" s="866"/>
      <c r="AG119" s="866"/>
      <c r="AH119" s="868"/>
      <c r="AI119" s="868"/>
      <c r="AT119" s="866"/>
      <c r="AU119" s="866"/>
      <c r="AV119" s="866"/>
      <c r="AW119" s="866"/>
      <c r="AX119" s="866"/>
      <c r="AY119" s="866"/>
      <c r="AZ119" s="866"/>
      <c r="BA119" s="866"/>
      <c r="BB119" s="866"/>
      <c r="BC119" s="866"/>
      <c r="BD119" s="866"/>
      <c r="BE119" s="866"/>
      <c r="BF119" s="866"/>
      <c r="BG119" s="869"/>
      <c r="BH119" s="869"/>
      <c r="BI119" s="869"/>
      <c r="BJ119" s="869"/>
      <c r="BK119" s="869"/>
      <c r="BL119" s="869"/>
      <c r="BM119" s="869"/>
      <c r="BN119" s="869"/>
      <c r="BO119" s="869"/>
      <c r="BP119" s="869"/>
      <c r="BQ119" s="869"/>
      <c r="BR119" s="869"/>
      <c r="BS119" s="869"/>
      <c r="BT119" s="869"/>
      <c r="BU119" s="869"/>
      <c r="BV119" s="869"/>
      <c r="BW119" s="869"/>
      <c r="BX119" s="869"/>
      <c r="BY119" s="869"/>
      <c r="BZ119" s="869"/>
      <c r="CA119" s="869"/>
      <c r="CB119" s="869"/>
      <c r="CC119" s="869"/>
      <c r="CD119" s="869"/>
      <c r="CE119" s="869"/>
      <c r="CF119" s="869"/>
    </row>
    <row r="120" spans="1:84" s="867" customFormat="1" ht="16.5" hidden="1" customHeight="1" x14ac:dyDescent="0.25">
      <c r="A120" s="162"/>
      <c r="B120" s="162"/>
      <c r="C120" s="162"/>
      <c r="D120" s="162"/>
      <c r="E120" s="162"/>
      <c r="F120" s="1301"/>
      <c r="G120" s="162"/>
      <c r="H120" s="162"/>
      <c r="I120" s="162"/>
      <c r="J120" s="162"/>
      <c r="K120" s="162"/>
      <c r="L120" s="164">
        <v>192300</v>
      </c>
      <c r="M120" s="162"/>
      <c r="N120" s="880"/>
      <c r="O120" s="71"/>
      <c r="P120" s="731"/>
      <c r="Q120" s="1602"/>
      <c r="R120" s="1078"/>
      <c r="S120" s="326"/>
      <c r="T120" s="326"/>
      <c r="U120" s="326"/>
      <c r="V120" s="326"/>
      <c r="W120" s="326"/>
      <c r="X120" s="326"/>
      <c r="Y120" s="866"/>
      <c r="Z120" s="866"/>
      <c r="AA120" s="866"/>
      <c r="AC120" s="866"/>
      <c r="AD120" s="868"/>
      <c r="AE120" s="868"/>
      <c r="AF120" s="866"/>
      <c r="AG120" s="866"/>
      <c r="AH120" s="868"/>
      <c r="AI120" s="868"/>
      <c r="AT120" s="866"/>
      <c r="AU120" s="866"/>
      <c r="AV120" s="866"/>
      <c r="AW120" s="866"/>
      <c r="AX120" s="866"/>
      <c r="AY120" s="866"/>
      <c r="AZ120" s="866"/>
      <c r="BA120" s="866"/>
      <c r="BB120" s="866"/>
      <c r="BC120" s="866"/>
      <c r="BD120" s="866"/>
      <c r="BE120" s="866"/>
      <c r="BF120" s="866"/>
      <c r="BG120" s="869"/>
      <c r="BH120" s="869"/>
      <c r="BI120" s="869"/>
      <c r="BJ120" s="869"/>
      <c r="BK120" s="869"/>
      <c r="BL120" s="869"/>
      <c r="BM120" s="869"/>
      <c r="BN120" s="869"/>
      <c r="BO120" s="869"/>
      <c r="BP120" s="869"/>
      <c r="BQ120" s="869"/>
      <c r="BR120" s="869"/>
      <c r="BS120" s="869"/>
      <c r="BT120" s="869"/>
      <c r="BU120" s="869"/>
      <c r="BV120" s="869"/>
      <c r="BW120" s="869"/>
      <c r="BX120" s="869"/>
      <c r="BY120" s="869"/>
      <c r="BZ120" s="869"/>
      <c r="CA120" s="869"/>
      <c r="CB120" s="869"/>
      <c r="CC120" s="869"/>
      <c r="CD120" s="869"/>
      <c r="CE120" s="869"/>
      <c r="CF120" s="869"/>
    </row>
    <row r="121" spans="1:84" s="867" customFormat="1" ht="16.5" hidden="1" customHeight="1" x14ac:dyDescent="0.25">
      <c r="A121" s="162"/>
      <c r="B121" s="162"/>
      <c r="C121" s="162"/>
      <c r="D121" s="162"/>
      <c r="E121" s="162"/>
      <c r="F121" s="1301"/>
      <c r="G121" s="162"/>
      <c r="H121" s="162"/>
      <c r="I121" s="162"/>
      <c r="J121" s="162"/>
      <c r="K121" s="162"/>
      <c r="L121" s="164">
        <v>197300</v>
      </c>
      <c r="M121" s="162"/>
      <c r="N121" s="880"/>
      <c r="O121" s="71"/>
      <c r="P121" s="731"/>
      <c r="Q121" s="1602"/>
      <c r="R121" s="1078"/>
      <c r="S121" s="326"/>
      <c r="T121" s="326"/>
      <c r="U121" s="326"/>
      <c r="V121" s="326"/>
      <c r="W121" s="326"/>
      <c r="X121" s="326"/>
      <c r="Y121" s="866"/>
      <c r="Z121" s="866"/>
      <c r="AA121" s="866"/>
      <c r="AC121" s="866"/>
      <c r="AD121" s="868"/>
      <c r="AE121" s="868"/>
      <c r="AF121" s="866"/>
      <c r="AG121" s="866"/>
      <c r="AH121" s="868"/>
      <c r="AI121" s="868"/>
      <c r="AT121" s="866"/>
      <c r="AU121" s="866"/>
      <c r="AV121" s="866"/>
      <c r="AW121" s="866"/>
      <c r="AX121" s="866"/>
      <c r="AY121" s="866"/>
      <c r="AZ121" s="866"/>
      <c r="BA121" s="866"/>
      <c r="BB121" s="866"/>
      <c r="BC121" s="866"/>
      <c r="BD121" s="866"/>
      <c r="BE121" s="866"/>
      <c r="BF121" s="866"/>
      <c r="BG121" s="869"/>
      <c r="BH121" s="869"/>
      <c r="BI121" s="869"/>
      <c r="BJ121" s="869"/>
      <c r="BK121" s="869"/>
      <c r="BL121" s="869"/>
      <c r="BM121" s="869"/>
      <c r="BN121" s="869"/>
      <c r="BO121" s="869"/>
      <c r="BP121" s="869"/>
      <c r="BQ121" s="869"/>
      <c r="BR121" s="869"/>
      <c r="BS121" s="869"/>
      <c r="BT121" s="869"/>
      <c r="BU121" s="869"/>
      <c r="BV121" s="869"/>
      <c r="BW121" s="869"/>
      <c r="BX121" s="869"/>
      <c r="BY121" s="869"/>
      <c r="BZ121" s="869"/>
      <c r="CA121" s="869"/>
      <c r="CB121" s="869"/>
      <c r="CC121" s="869"/>
      <c r="CD121" s="869"/>
      <c r="CE121" s="869"/>
      <c r="CF121" s="869"/>
    </row>
    <row r="122" spans="1:84" s="867" customFormat="1" ht="16.5" hidden="1" customHeight="1" x14ac:dyDescent="0.25">
      <c r="A122" s="162"/>
      <c r="B122" s="162"/>
      <c r="C122" s="162"/>
      <c r="D122" s="162"/>
      <c r="E122" s="162"/>
      <c r="F122" s="1301"/>
      <c r="G122" s="162"/>
      <c r="H122" s="162"/>
      <c r="I122" s="162"/>
      <c r="J122" s="162"/>
      <c r="K122" s="162"/>
      <c r="L122" s="164">
        <v>199300</v>
      </c>
      <c r="M122" s="162"/>
      <c r="N122" s="880"/>
      <c r="O122" s="71"/>
      <c r="P122" s="731"/>
      <c r="Q122" s="1602"/>
      <c r="R122" s="1078"/>
      <c r="S122" s="326"/>
      <c r="T122" s="326"/>
      <c r="U122" s="326"/>
      <c r="V122" s="326"/>
      <c r="W122" s="326"/>
      <c r="X122" s="326"/>
      <c r="Y122" s="866"/>
      <c r="Z122" s="866"/>
      <c r="AA122" s="866"/>
      <c r="AC122" s="866"/>
      <c r="AD122" s="868"/>
      <c r="AE122" s="868"/>
      <c r="AF122" s="866"/>
      <c r="AG122" s="866"/>
      <c r="AH122" s="868"/>
      <c r="AI122" s="868"/>
      <c r="AT122" s="866"/>
      <c r="AU122" s="866"/>
      <c r="AV122" s="866"/>
      <c r="AW122" s="866"/>
      <c r="AX122" s="866"/>
      <c r="AY122" s="866"/>
      <c r="AZ122" s="866"/>
      <c r="BA122" s="866"/>
      <c r="BB122" s="866"/>
      <c r="BC122" s="866"/>
      <c r="BD122" s="866"/>
      <c r="BE122" s="866"/>
      <c r="BF122" s="866"/>
      <c r="BG122" s="869"/>
      <c r="BH122" s="869"/>
      <c r="BI122" s="869"/>
      <c r="BJ122" s="869"/>
      <c r="BK122" s="869"/>
      <c r="BL122" s="869"/>
      <c r="BM122" s="869"/>
      <c r="BN122" s="869"/>
      <c r="BO122" s="869"/>
      <c r="BP122" s="869"/>
      <c r="BQ122" s="869"/>
      <c r="BR122" s="869"/>
      <c r="BS122" s="869"/>
      <c r="BT122" s="869"/>
      <c r="BU122" s="869"/>
      <c r="BV122" s="869"/>
      <c r="BW122" s="869"/>
      <c r="BX122" s="869"/>
      <c r="BY122" s="869"/>
      <c r="BZ122" s="869"/>
      <c r="CA122" s="869"/>
      <c r="CB122" s="869"/>
      <c r="CC122" s="869"/>
      <c r="CD122" s="869"/>
      <c r="CE122" s="869"/>
      <c r="CF122" s="869"/>
    </row>
    <row r="123" spans="1:84" s="867" customFormat="1" ht="16.5" hidden="1" customHeight="1" x14ac:dyDescent="0.25">
      <c r="A123" s="162"/>
      <c r="B123" s="162"/>
      <c r="C123" s="162"/>
      <c r="D123" s="162"/>
      <c r="E123" s="162"/>
      <c r="F123" s="1301"/>
      <c r="G123" s="162"/>
      <c r="H123" s="162"/>
      <c r="I123" s="162"/>
      <c r="J123" s="162"/>
      <c r="K123" s="162"/>
      <c r="L123" s="164">
        <v>203700</v>
      </c>
      <c r="M123" s="162"/>
      <c r="N123" s="880"/>
      <c r="O123" s="71"/>
      <c r="P123" s="731"/>
      <c r="Q123" s="1602"/>
      <c r="R123" s="1078"/>
      <c r="S123" s="326"/>
      <c r="T123" s="326"/>
      <c r="U123" s="326"/>
      <c r="V123" s="326"/>
      <c r="W123" s="326"/>
      <c r="X123" s="326"/>
      <c r="Y123" s="866"/>
      <c r="Z123" s="866"/>
      <c r="AA123" s="866"/>
      <c r="AC123" s="866"/>
      <c r="AD123" s="868"/>
      <c r="AE123" s="868"/>
      <c r="AF123" s="866"/>
      <c r="AG123" s="866"/>
      <c r="AH123" s="868"/>
      <c r="AI123" s="868"/>
      <c r="AT123" s="866"/>
      <c r="AU123" s="866"/>
      <c r="AV123" s="866"/>
      <c r="AW123" s="866"/>
      <c r="AX123" s="866"/>
      <c r="AY123" s="866"/>
      <c r="AZ123" s="866"/>
      <c r="BA123" s="866"/>
      <c r="BB123" s="866"/>
      <c r="BC123" s="866"/>
      <c r="BD123" s="866"/>
      <c r="BE123" s="866"/>
      <c r="BF123" s="866"/>
      <c r="BG123" s="869"/>
      <c r="BH123" s="869"/>
      <c r="BI123" s="869"/>
      <c r="BJ123" s="869"/>
      <c r="BK123" s="869"/>
      <c r="BL123" s="869"/>
      <c r="BM123" s="869"/>
      <c r="BN123" s="869"/>
      <c r="BO123" s="869"/>
      <c r="BP123" s="869"/>
      <c r="BQ123" s="869"/>
      <c r="BR123" s="869"/>
      <c r="BS123" s="869"/>
      <c r="BT123" s="869"/>
      <c r="BU123" s="869"/>
      <c r="BV123" s="869"/>
      <c r="BW123" s="869"/>
      <c r="BX123" s="869"/>
      <c r="BY123" s="869"/>
      <c r="BZ123" s="869"/>
      <c r="CA123" s="869"/>
      <c r="CB123" s="869"/>
      <c r="CC123" s="869"/>
      <c r="CD123" s="869"/>
      <c r="CE123" s="869"/>
      <c r="CF123" s="869"/>
    </row>
    <row r="124" spans="1:84" ht="16.5" hidden="1" customHeight="1" thickBot="1" x14ac:dyDescent="0.3">
      <c r="A124" s="162"/>
      <c r="B124" s="162"/>
      <c r="C124" s="162"/>
      <c r="D124" s="162"/>
      <c r="E124" s="162"/>
      <c r="F124" s="1301"/>
      <c r="G124" s="162"/>
      <c r="H124" s="162"/>
      <c r="I124" s="162"/>
      <c r="J124" s="162"/>
      <c r="K124" s="162"/>
      <c r="L124" s="164">
        <v>212100</v>
      </c>
      <c r="M124" s="162"/>
      <c r="N124" s="880"/>
      <c r="O124" s="71"/>
      <c r="P124" s="731"/>
      <c r="Q124" s="1602"/>
      <c r="R124" s="1078"/>
      <c r="S124" s="326"/>
      <c r="T124" s="326"/>
      <c r="U124" s="326"/>
      <c r="V124" s="326"/>
      <c r="W124" s="326"/>
      <c r="X124" s="326"/>
      <c r="Y124" s="866"/>
      <c r="Z124" s="866"/>
      <c r="AA124" s="866"/>
      <c r="AC124" s="230"/>
      <c r="AD124" s="265"/>
      <c r="AE124" s="265"/>
      <c r="AF124" s="230"/>
      <c r="AG124" s="230"/>
      <c r="AH124" s="265"/>
      <c r="AI124" s="265"/>
    </row>
    <row r="125" spans="1:84" s="15" customFormat="1" ht="15" customHeight="1" thickTop="1" thickBot="1" x14ac:dyDescent="0.3">
      <c r="A125" s="1093" t="s">
        <v>324</v>
      </c>
      <c r="B125" s="438"/>
      <c r="C125" s="438"/>
      <c r="D125" s="438"/>
      <c r="E125" s="438"/>
      <c r="F125" s="438"/>
      <c r="G125" s="320"/>
      <c r="H125" s="438"/>
      <c r="I125" s="438"/>
      <c r="J125" s="438"/>
      <c r="K125" s="438"/>
      <c r="L125" s="1300"/>
      <c r="M125" s="438"/>
      <c r="N125" s="438"/>
      <c r="O125" s="320"/>
      <c r="P125" s="731"/>
      <c r="Q125" s="1602"/>
      <c r="R125" s="1078"/>
      <c r="S125" s="326"/>
      <c r="T125" s="326"/>
      <c r="U125" s="326"/>
      <c r="V125" s="326"/>
      <c r="W125" s="326"/>
      <c r="X125" s="326"/>
      <c r="Y125" s="328"/>
      <c r="Z125" s="328"/>
      <c r="AA125" s="328"/>
      <c r="AC125" s="328"/>
      <c r="AD125" s="512"/>
      <c r="AE125" s="512"/>
      <c r="AF125" s="328"/>
      <c r="AG125" s="328"/>
      <c r="AH125" s="512"/>
      <c r="AI125" s="512"/>
      <c r="AT125" s="328"/>
      <c r="AU125" s="328"/>
      <c r="AV125" s="328"/>
      <c r="AW125" s="328"/>
      <c r="AX125" s="328"/>
      <c r="AY125" s="328"/>
      <c r="AZ125" s="328"/>
      <c r="BA125" s="328"/>
      <c r="BB125" s="328"/>
      <c r="BC125" s="328"/>
      <c r="BD125" s="328"/>
      <c r="BE125" s="328"/>
      <c r="BF125" s="328"/>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row>
    <row r="126" spans="1:84" s="15" customFormat="1" ht="15" customHeight="1" thickTop="1" thickBot="1" x14ac:dyDescent="0.3">
      <c r="A126" s="443"/>
      <c r="B126" s="453"/>
      <c r="C126" s="453"/>
      <c r="D126" s="328"/>
      <c r="E126" s="328"/>
      <c r="F126" s="328"/>
      <c r="G126" s="328"/>
      <c r="H126" s="328"/>
      <c r="I126" s="328"/>
      <c r="J126" s="328"/>
      <c r="K126" s="328"/>
      <c r="L126" s="328"/>
      <c r="M126" s="328"/>
      <c r="N126" s="328"/>
      <c r="O126" s="328"/>
      <c r="P126" s="731"/>
      <c r="Q126" s="1602"/>
      <c r="R126" s="1078"/>
      <c r="S126" s="326"/>
      <c r="T126" s="326"/>
      <c r="U126" s="326"/>
      <c r="V126" s="326"/>
      <c r="W126" s="326"/>
      <c r="X126" s="326"/>
      <c r="Y126" s="328"/>
      <c r="Z126" s="328"/>
      <c r="AA126" s="328"/>
      <c r="AC126" s="328"/>
      <c r="AD126" s="512"/>
      <c r="AE126" s="512"/>
      <c r="AF126" s="328"/>
      <c r="AG126" s="328"/>
      <c r="AH126" s="512"/>
      <c r="AI126" s="512"/>
      <c r="AT126" s="328"/>
      <c r="AU126" s="328"/>
      <c r="AV126" s="328"/>
      <c r="AW126" s="328"/>
      <c r="AX126" s="328"/>
      <c r="AY126" s="328"/>
      <c r="AZ126" s="328"/>
      <c r="BA126" s="328"/>
      <c r="BB126" s="328"/>
      <c r="BC126" s="328"/>
      <c r="BD126" s="328"/>
      <c r="BE126" s="328"/>
      <c r="BF126" s="328"/>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row>
    <row r="127" spans="1:84" ht="15" thickTop="1" thickBot="1" x14ac:dyDescent="0.3">
      <c r="A127" s="1226" t="s">
        <v>374</v>
      </c>
      <c r="B127" s="319"/>
      <c r="C127" s="319"/>
      <c r="D127" s="320"/>
      <c r="E127" s="320"/>
      <c r="F127" s="320"/>
      <c r="G127" s="320"/>
      <c r="H127" s="320"/>
      <c r="I127" s="320"/>
      <c r="J127" s="320"/>
      <c r="K127" s="320"/>
      <c r="L127" s="321" t="s">
        <v>60</v>
      </c>
      <c r="M127" s="320"/>
      <c r="N127" s="320"/>
      <c r="O127" s="456" t="s">
        <v>104</v>
      </c>
      <c r="P127" s="731"/>
      <c r="Q127" s="1602"/>
      <c r="R127" s="1078"/>
      <c r="S127" s="326"/>
      <c r="T127" s="326"/>
      <c r="U127" s="326"/>
      <c r="V127" s="326"/>
      <c r="W127" s="326"/>
      <c r="X127" s="326"/>
      <c r="Y127" s="866"/>
      <c r="Z127" s="866"/>
      <c r="AA127" s="866"/>
      <c r="AC127" s="230"/>
      <c r="AD127" s="265"/>
      <c r="AE127" s="265"/>
      <c r="AF127" s="230"/>
      <c r="AG127" s="230"/>
      <c r="AH127" s="265"/>
      <c r="AI127" s="265"/>
    </row>
    <row r="128" spans="1:84" ht="20.25" customHeight="1" thickTop="1" x14ac:dyDescent="0.25">
      <c r="A128" s="1226" t="s">
        <v>322</v>
      </c>
      <c r="B128" s="319"/>
      <c r="C128" s="319"/>
      <c r="D128" s="320"/>
      <c r="E128" s="320"/>
      <c r="F128" s="320"/>
      <c r="G128" s="320"/>
      <c r="H128" s="320"/>
      <c r="I128" s="320"/>
      <c r="J128" s="320"/>
      <c r="K128" s="320"/>
      <c r="L128" s="320"/>
      <c r="M128" s="320"/>
      <c r="N128" s="320"/>
      <c r="O128" s="438"/>
      <c r="P128" s="731"/>
      <c r="Q128" s="1602"/>
      <c r="R128" s="1078"/>
      <c r="S128" s="326"/>
      <c r="T128" s="326"/>
      <c r="U128" s="326"/>
      <c r="V128" s="326"/>
      <c r="W128" s="326"/>
      <c r="X128" s="326"/>
      <c r="Y128" s="866"/>
      <c r="Z128" s="866"/>
      <c r="AA128" s="866"/>
      <c r="AC128" s="230"/>
      <c r="AD128" s="265"/>
      <c r="AE128" s="265"/>
      <c r="AF128" s="230"/>
      <c r="AG128" s="230"/>
      <c r="AH128" s="265"/>
      <c r="AI128" s="265"/>
    </row>
    <row r="129" spans="1:84" x14ac:dyDescent="0.25">
      <c r="A129" s="1226" t="s">
        <v>325</v>
      </c>
      <c r="B129" s="320"/>
      <c r="C129" s="320"/>
      <c r="D129" s="320"/>
      <c r="E129" s="320"/>
      <c r="F129" s="320"/>
      <c r="G129" s="320"/>
      <c r="H129" s="320"/>
      <c r="I129" s="320"/>
      <c r="J129" s="320"/>
      <c r="K129" s="320"/>
      <c r="L129" s="320"/>
      <c r="M129" s="320"/>
      <c r="N129" s="320"/>
      <c r="O129" s="320"/>
      <c r="P129" s="731"/>
      <c r="Q129" s="1602"/>
      <c r="R129" s="1078"/>
      <c r="S129" s="326"/>
      <c r="T129" s="326"/>
      <c r="U129" s="326"/>
      <c r="V129" s="326"/>
      <c r="W129" s="326"/>
      <c r="X129" s="326"/>
      <c r="Y129" s="866"/>
      <c r="Z129" s="866"/>
      <c r="AA129" s="866"/>
      <c r="AC129" s="230"/>
      <c r="AD129" s="265"/>
      <c r="AE129" s="265"/>
      <c r="AF129" s="230"/>
      <c r="AG129" s="230"/>
      <c r="AH129" s="265"/>
      <c r="AI129" s="265"/>
    </row>
    <row r="130" spans="1:84" ht="14.4" thickBot="1" x14ac:dyDescent="0.3">
      <c r="A130" s="1226" t="s">
        <v>326</v>
      </c>
      <c r="B130" s="320"/>
      <c r="C130" s="320"/>
      <c r="D130" s="320"/>
      <c r="E130" s="320"/>
      <c r="F130" s="320"/>
      <c r="G130" s="320"/>
      <c r="H130" s="320"/>
      <c r="I130" s="320"/>
      <c r="J130" s="320"/>
      <c r="K130" s="320"/>
      <c r="L130" s="320"/>
      <c r="M130" s="320"/>
      <c r="N130" s="320"/>
      <c r="O130" s="320"/>
      <c r="P130" s="731"/>
      <c r="Q130" s="1602"/>
      <c r="R130" s="1078"/>
      <c r="S130" s="326"/>
      <c r="T130" s="326"/>
      <c r="U130" s="326"/>
      <c r="V130" s="326"/>
      <c r="W130" s="326"/>
      <c r="X130" s="326"/>
      <c r="Y130" s="866"/>
      <c r="Z130" s="866"/>
      <c r="AA130" s="866"/>
      <c r="AC130" s="230"/>
      <c r="AD130" s="265"/>
      <c r="AE130" s="265"/>
      <c r="AF130" s="230"/>
      <c r="AG130" s="230"/>
      <c r="AH130" s="265"/>
      <c r="AI130" s="265"/>
    </row>
    <row r="131" spans="1:84" ht="15" thickTop="1" thickBot="1" x14ac:dyDescent="0.3">
      <c r="A131" s="1226" t="s">
        <v>501</v>
      </c>
      <c r="B131" s="320"/>
      <c r="C131" s="320"/>
      <c r="D131" s="320"/>
      <c r="E131" s="320"/>
      <c r="F131" s="320"/>
      <c r="G131" s="320"/>
      <c r="H131" s="320"/>
      <c r="I131" s="320"/>
      <c r="J131" s="320"/>
      <c r="K131" s="320"/>
      <c r="L131" s="320"/>
      <c r="M131" s="320"/>
      <c r="N131" s="320"/>
      <c r="O131" s="457"/>
      <c r="P131" s="731"/>
      <c r="Q131" s="1602"/>
      <c r="R131" s="1078"/>
      <c r="S131" s="326"/>
      <c r="T131" s="326"/>
      <c r="U131" s="326"/>
      <c r="V131" s="326"/>
      <c r="W131" s="326"/>
      <c r="X131" s="326"/>
      <c r="Y131" s="866"/>
      <c r="Z131" s="866"/>
      <c r="AA131" s="866"/>
      <c r="AC131" s="230"/>
      <c r="AD131" s="265"/>
      <c r="AE131" s="265"/>
      <c r="AF131" s="230"/>
      <c r="AG131" s="230"/>
      <c r="AH131" s="265"/>
      <c r="AI131" s="265"/>
    </row>
    <row r="132" spans="1:84" s="867" customFormat="1" ht="14.4" thickTop="1" x14ac:dyDescent="0.25">
      <c r="A132" s="1226" t="s">
        <v>500</v>
      </c>
      <c r="B132" s="320"/>
      <c r="C132" s="320"/>
      <c r="D132" s="320"/>
      <c r="E132" s="320"/>
      <c r="F132" s="320"/>
      <c r="G132" s="320"/>
      <c r="H132" s="320"/>
      <c r="I132" s="320"/>
      <c r="J132" s="320"/>
      <c r="K132" s="320"/>
      <c r="L132" s="320"/>
      <c r="M132" s="320"/>
      <c r="N132" s="320"/>
      <c r="O132" s="320"/>
      <c r="P132" s="731"/>
      <c r="Q132" s="1602"/>
      <c r="R132" s="1078"/>
      <c r="S132" s="326"/>
      <c r="T132" s="326"/>
      <c r="U132" s="326"/>
      <c r="V132" s="326"/>
      <c r="W132" s="326"/>
      <c r="X132" s="326"/>
      <c r="Y132" s="866"/>
      <c r="Z132" s="866"/>
      <c r="AA132" s="866"/>
      <c r="AC132" s="866"/>
      <c r="AD132" s="868"/>
      <c r="AE132" s="868"/>
      <c r="AF132" s="866"/>
      <c r="AG132" s="866"/>
      <c r="AH132" s="868"/>
      <c r="AI132" s="868"/>
      <c r="AT132" s="866"/>
      <c r="AU132" s="866"/>
      <c r="AV132" s="866"/>
      <c r="AW132" s="866"/>
      <c r="AX132" s="866"/>
      <c r="AY132" s="866"/>
      <c r="AZ132" s="866"/>
      <c r="BA132" s="866"/>
      <c r="BB132" s="866"/>
      <c r="BC132" s="866"/>
      <c r="BD132" s="866"/>
      <c r="BE132" s="866"/>
      <c r="BF132" s="866"/>
      <c r="BG132" s="869"/>
      <c r="BH132" s="869"/>
      <c r="BI132" s="869"/>
      <c r="BJ132" s="869"/>
      <c r="BK132" s="869"/>
      <c r="BL132" s="869"/>
      <c r="BM132" s="869"/>
      <c r="BN132" s="869"/>
      <c r="BO132" s="869"/>
      <c r="BP132" s="869"/>
      <c r="BQ132" s="869"/>
      <c r="BR132" s="869"/>
      <c r="BS132" s="869"/>
      <c r="BT132" s="869"/>
      <c r="BU132" s="869"/>
      <c r="BV132" s="869"/>
      <c r="BW132" s="869"/>
      <c r="BX132" s="869"/>
      <c r="BY132" s="869"/>
      <c r="BZ132" s="869"/>
      <c r="CA132" s="869"/>
      <c r="CB132" s="869"/>
      <c r="CC132" s="869"/>
      <c r="CD132" s="869"/>
      <c r="CE132" s="869"/>
      <c r="CF132" s="869"/>
    </row>
    <row r="133" spans="1:84" s="827" customFormat="1" ht="36" customHeight="1" thickBot="1" x14ac:dyDescent="0.4">
      <c r="A133" s="1227" t="s">
        <v>552</v>
      </c>
      <c r="B133" s="826"/>
      <c r="C133" s="826"/>
      <c r="D133" s="826"/>
      <c r="E133" s="826"/>
      <c r="F133" s="826"/>
      <c r="G133" s="826"/>
      <c r="H133" s="826"/>
      <c r="I133" s="826"/>
      <c r="J133" s="826"/>
      <c r="K133" s="826"/>
      <c r="L133" s="826"/>
      <c r="M133" s="826"/>
      <c r="N133" s="826"/>
      <c r="O133" s="826"/>
      <c r="P133" s="708"/>
      <c r="Q133" s="1585"/>
      <c r="R133" s="1077"/>
      <c r="S133" s="828"/>
      <c r="T133" s="828"/>
      <c r="U133" s="828"/>
      <c r="V133" s="828"/>
      <c r="W133" s="828"/>
      <c r="X133" s="828"/>
      <c r="Y133" s="828"/>
      <c r="Z133" s="828"/>
      <c r="AA133" s="828"/>
      <c r="AC133" s="828"/>
      <c r="AD133" s="829"/>
      <c r="AE133" s="829"/>
      <c r="AF133" s="828"/>
      <c r="AG133" s="828"/>
      <c r="AH133" s="829"/>
      <c r="AI133" s="829"/>
      <c r="AT133" s="828"/>
      <c r="AU133" s="828"/>
      <c r="AV133" s="828"/>
      <c r="AW133" s="828"/>
      <c r="AX133" s="828"/>
      <c r="AY133" s="828"/>
      <c r="AZ133" s="828"/>
      <c r="BA133" s="828"/>
      <c r="BB133" s="828"/>
      <c r="BC133" s="828"/>
      <c r="BD133" s="828"/>
      <c r="BE133" s="828"/>
      <c r="BF133" s="828"/>
      <c r="BG133" s="830"/>
      <c r="BH133" s="830"/>
      <c r="BI133" s="830"/>
      <c r="BJ133" s="830"/>
      <c r="BK133" s="830"/>
      <c r="BL133" s="830"/>
      <c r="BM133" s="830"/>
      <c r="BN133" s="830"/>
      <c r="BO133" s="830"/>
      <c r="BP133" s="830"/>
      <c r="BQ133" s="830"/>
      <c r="BR133" s="830"/>
      <c r="BS133" s="830"/>
      <c r="BT133" s="830"/>
      <c r="BU133" s="830"/>
      <c r="BV133" s="830"/>
      <c r="BW133" s="830"/>
      <c r="BX133" s="830"/>
      <c r="BY133" s="830"/>
      <c r="BZ133" s="830"/>
      <c r="CA133" s="830"/>
      <c r="CB133" s="830"/>
      <c r="CC133" s="830"/>
      <c r="CD133" s="830"/>
      <c r="CE133" s="830"/>
      <c r="CF133" s="830"/>
    </row>
    <row r="134" spans="1:84" ht="15" thickTop="1" thickBot="1" x14ac:dyDescent="0.3">
      <c r="A134" s="1226" t="s">
        <v>375</v>
      </c>
      <c r="B134" s="319"/>
      <c r="C134" s="319"/>
      <c r="D134" s="320"/>
      <c r="E134" s="320"/>
      <c r="F134" s="320"/>
      <c r="G134" s="320"/>
      <c r="H134" s="320"/>
      <c r="I134" s="320"/>
      <c r="J134" s="320"/>
      <c r="K134" s="320"/>
      <c r="L134" s="321" t="s">
        <v>60</v>
      </c>
      <c r="M134" s="320"/>
      <c r="N134" s="320"/>
      <c r="O134" s="1094" t="s">
        <v>267</v>
      </c>
      <c r="P134" s="708"/>
      <c r="Q134" s="1585"/>
      <c r="R134" s="1077"/>
      <c r="S134" s="866"/>
      <c r="T134" s="866"/>
      <c r="U134" s="866"/>
      <c r="V134" s="866"/>
      <c r="W134" s="866"/>
      <c r="X134" s="866"/>
      <c r="Y134" s="866"/>
      <c r="Z134" s="866"/>
      <c r="AA134" s="866"/>
      <c r="AC134" s="230"/>
      <c r="AD134" s="265"/>
      <c r="AE134" s="265"/>
      <c r="AF134" s="230"/>
      <c r="AG134" s="230"/>
      <c r="AH134" s="265"/>
      <c r="AI134" s="265"/>
    </row>
    <row r="135" spans="1:84" ht="14.4" thickTop="1" x14ac:dyDescent="0.25">
      <c r="A135" s="1226" t="s">
        <v>327</v>
      </c>
      <c r="B135" s="319"/>
      <c r="C135" s="319"/>
      <c r="D135" s="320"/>
      <c r="E135" s="320"/>
      <c r="F135" s="320"/>
      <c r="G135" s="320"/>
      <c r="H135" s="320"/>
      <c r="I135" s="320"/>
      <c r="J135" s="320"/>
      <c r="K135" s="320"/>
      <c r="L135" s="320"/>
      <c r="M135" s="320"/>
      <c r="N135" s="320"/>
      <c r="O135" s="438"/>
      <c r="P135" s="708"/>
      <c r="Q135" s="1585"/>
      <c r="R135" s="1077"/>
      <c r="S135" s="866"/>
      <c r="T135" s="866"/>
      <c r="U135" s="866"/>
      <c r="V135" s="866"/>
      <c r="W135" s="866"/>
      <c r="X135" s="866"/>
      <c r="Y135" s="866"/>
      <c r="Z135" s="866"/>
      <c r="AA135" s="866"/>
      <c r="AC135" s="230"/>
      <c r="AD135" s="265"/>
      <c r="AE135" s="265"/>
      <c r="AF135" s="230"/>
      <c r="AG135" s="230"/>
      <c r="AH135" s="265"/>
      <c r="AI135" s="265"/>
    </row>
    <row r="136" spans="1:84" x14ac:dyDescent="0.25">
      <c r="A136" s="1226" t="s">
        <v>328</v>
      </c>
      <c r="B136" s="319"/>
      <c r="C136" s="319"/>
      <c r="D136" s="320"/>
      <c r="E136" s="320"/>
      <c r="F136" s="320"/>
      <c r="G136" s="320"/>
      <c r="H136" s="320"/>
      <c r="I136" s="320"/>
      <c r="J136" s="320"/>
      <c r="K136" s="320"/>
      <c r="L136" s="320"/>
      <c r="M136" s="320"/>
      <c r="N136" s="320"/>
      <c r="O136" s="438"/>
      <c r="P136" s="708"/>
      <c r="Q136" s="1585"/>
      <c r="R136" s="1077"/>
      <c r="S136" s="866"/>
      <c r="T136" s="866"/>
      <c r="U136" s="866"/>
      <c r="V136" s="866"/>
      <c r="W136" s="866"/>
      <c r="X136" s="866"/>
      <c r="Y136" s="866"/>
      <c r="Z136" s="866"/>
      <c r="AA136" s="866"/>
      <c r="AC136" s="230"/>
      <c r="AD136" s="265"/>
      <c r="AE136" s="265"/>
      <c r="AF136" s="230"/>
      <c r="AG136" s="230"/>
      <c r="AH136" s="265"/>
      <c r="AI136" s="265"/>
    </row>
    <row r="137" spans="1:84" ht="14.4" thickBot="1" x14ac:dyDescent="0.3">
      <c r="A137" s="453"/>
      <c r="B137" s="453"/>
      <c r="C137" s="453"/>
      <c r="D137" s="328"/>
      <c r="E137" s="328"/>
      <c r="F137" s="328"/>
      <c r="G137" s="328"/>
      <c r="H137" s="328"/>
      <c r="I137" s="328"/>
      <c r="J137" s="328"/>
      <c r="K137" s="328"/>
      <c r="L137" s="328"/>
      <c r="M137" s="328"/>
      <c r="N137" s="328"/>
      <c r="O137" s="443"/>
      <c r="P137" s="708"/>
      <c r="Q137" s="1585"/>
      <c r="R137" s="1077"/>
      <c r="S137" s="866"/>
      <c r="T137" s="866"/>
      <c r="U137" s="866"/>
      <c r="V137" s="866"/>
      <c r="W137" s="866"/>
      <c r="X137" s="866"/>
      <c r="Y137" s="866"/>
      <c r="Z137" s="866"/>
      <c r="AA137" s="866"/>
      <c r="AC137" s="230"/>
      <c r="AD137" s="265"/>
      <c r="AE137" s="265"/>
      <c r="AF137" s="230"/>
      <c r="AG137" s="230"/>
      <c r="AH137" s="265"/>
      <c r="AI137" s="265"/>
    </row>
    <row r="138" spans="1:84" ht="15.6" thickTop="1" thickBot="1" x14ac:dyDescent="0.35">
      <c r="A138" s="1226" t="s">
        <v>385</v>
      </c>
      <c r="B138" s="319"/>
      <c r="C138" s="319"/>
      <c r="D138" s="320"/>
      <c r="E138" s="320"/>
      <c r="F138" s="320"/>
      <c r="G138" s="458"/>
      <c r="H138" s="458"/>
      <c r="I138" s="458"/>
      <c r="J138" s="458"/>
      <c r="K138" s="458"/>
      <c r="L138" s="321">
        <v>0</v>
      </c>
      <c r="M138" s="320"/>
      <c r="N138" s="320"/>
      <c r="O138" s="1094" t="s">
        <v>267</v>
      </c>
      <c r="P138" s="708"/>
      <c r="Q138" s="1585"/>
      <c r="R138" s="1077"/>
      <c r="S138" s="866"/>
      <c r="T138" s="866"/>
      <c r="U138" s="866"/>
      <c r="V138" s="866"/>
      <c r="W138" s="866"/>
      <c r="X138" s="866"/>
      <c r="Y138" s="866"/>
      <c r="Z138" s="866"/>
      <c r="AA138" s="866"/>
      <c r="AC138" s="230"/>
      <c r="AD138" s="265"/>
      <c r="AE138" s="265"/>
      <c r="AF138" s="230"/>
      <c r="AG138" s="230"/>
      <c r="AH138" s="265"/>
      <c r="AI138" s="265"/>
    </row>
    <row r="139" spans="1:84" ht="14.4" hidden="1" thickTop="1" x14ac:dyDescent="0.25">
      <c r="A139" s="70"/>
      <c r="B139" s="70"/>
      <c r="C139" s="70"/>
      <c r="D139" s="70"/>
      <c r="E139" s="70"/>
      <c r="F139" s="70"/>
      <c r="H139" s="71"/>
      <c r="I139" s="71"/>
      <c r="J139" s="71"/>
      <c r="K139" s="71"/>
      <c r="L139" s="71"/>
      <c r="M139" s="71"/>
      <c r="N139" s="72" t="s">
        <v>70</v>
      </c>
      <c r="O139" s="73" t="s">
        <v>62</v>
      </c>
      <c r="P139" s="708"/>
      <c r="Q139" s="1585"/>
      <c r="R139" s="1077"/>
      <c r="S139" s="866"/>
      <c r="T139" s="866"/>
      <c r="U139" s="866"/>
      <c r="V139" s="866"/>
      <c r="W139" s="866"/>
      <c r="X139" s="866"/>
      <c r="Y139" s="866"/>
      <c r="Z139" s="866"/>
      <c r="AA139" s="866"/>
      <c r="AC139" s="230"/>
      <c r="AD139" s="265"/>
      <c r="AE139" s="265"/>
      <c r="AF139" s="230"/>
      <c r="AG139" s="230"/>
      <c r="AH139" s="265"/>
      <c r="AI139" s="265"/>
    </row>
    <row r="140" spans="1:84" ht="14.4" hidden="1" thickTop="1" x14ac:dyDescent="0.25">
      <c r="A140" s="70"/>
      <c r="B140" s="70"/>
      <c r="C140" s="70"/>
      <c r="D140" s="70"/>
      <c r="E140" s="70"/>
      <c r="F140" s="70"/>
      <c r="H140" s="71"/>
      <c r="I140" s="71"/>
      <c r="J140" s="71"/>
      <c r="K140" s="71"/>
      <c r="L140" s="71"/>
      <c r="M140" s="71"/>
      <c r="N140" s="74">
        <v>0</v>
      </c>
      <c r="O140" s="75">
        <f>IF($L$138=0, 0,0)</f>
        <v>0</v>
      </c>
      <c r="P140" s="708"/>
      <c r="Q140" s="1585"/>
      <c r="R140" s="1077"/>
      <c r="S140" s="866"/>
      <c r="T140" s="866"/>
      <c r="U140" s="866"/>
      <c r="V140" s="866"/>
      <c r="W140" s="866"/>
      <c r="X140" s="866"/>
      <c r="Y140" s="866"/>
      <c r="Z140" s="866"/>
      <c r="AA140" s="866"/>
      <c r="AC140" s="230"/>
      <c r="AD140" s="265"/>
      <c r="AE140" s="265"/>
      <c r="AF140" s="230"/>
      <c r="AG140" s="230"/>
      <c r="AH140" s="265"/>
      <c r="AI140" s="265"/>
    </row>
    <row r="141" spans="1:84" ht="14.4" hidden="1" thickTop="1" x14ac:dyDescent="0.25">
      <c r="A141" s="70"/>
      <c r="B141" s="70"/>
      <c r="C141" s="70"/>
      <c r="D141" s="70"/>
      <c r="E141" s="70"/>
      <c r="F141" s="70"/>
      <c r="H141" s="71"/>
      <c r="I141" s="71"/>
      <c r="J141" s="71"/>
      <c r="K141" s="71"/>
      <c r="L141" s="71"/>
      <c r="M141" s="71"/>
      <c r="N141" s="74">
        <v>1</v>
      </c>
      <c r="O141" s="75">
        <f>IF($L$138=1, 25000,0)</f>
        <v>0</v>
      </c>
      <c r="P141" s="708"/>
      <c r="Q141" s="1585"/>
      <c r="R141" s="1077"/>
      <c r="S141" s="866"/>
      <c r="T141" s="866"/>
      <c r="U141" s="866"/>
      <c r="V141" s="866"/>
      <c r="W141" s="866"/>
      <c r="X141" s="866"/>
      <c r="Y141" s="866"/>
      <c r="Z141" s="866"/>
      <c r="AA141" s="866"/>
      <c r="AC141" s="230"/>
      <c r="AD141" s="265"/>
      <c r="AE141" s="265"/>
      <c r="AF141" s="230"/>
      <c r="AG141" s="230"/>
      <c r="AH141" s="265"/>
      <c r="AI141" s="265"/>
    </row>
    <row r="142" spans="1:84" ht="14.4" hidden="1" thickTop="1" x14ac:dyDescent="0.25">
      <c r="A142" s="70"/>
      <c r="B142" s="70"/>
      <c r="C142" s="70"/>
      <c r="D142" s="70"/>
      <c r="E142" s="70"/>
      <c r="F142" s="70"/>
      <c r="H142" s="71"/>
      <c r="I142" s="71"/>
      <c r="J142" s="71"/>
      <c r="K142" s="71"/>
      <c r="L142" s="71"/>
      <c r="M142" s="71"/>
      <c r="N142" s="74">
        <v>2</v>
      </c>
      <c r="O142" s="75">
        <f>IF($L$138=2, 50000,0)</f>
        <v>0</v>
      </c>
      <c r="P142" s="708"/>
      <c r="Q142" s="1585"/>
      <c r="R142" s="1077"/>
      <c r="S142" s="866"/>
      <c r="T142" s="866"/>
      <c r="U142" s="866"/>
      <c r="V142" s="866"/>
      <c r="W142" s="866"/>
      <c r="X142" s="866"/>
      <c r="Y142" s="866"/>
      <c r="Z142" s="866"/>
      <c r="AA142" s="866"/>
      <c r="AC142" s="230"/>
      <c r="AD142" s="265"/>
      <c r="AE142" s="265"/>
      <c r="AF142" s="230"/>
      <c r="AG142" s="230"/>
      <c r="AH142" s="265"/>
      <c r="AI142" s="265"/>
    </row>
    <row r="143" spans="1:84" ht="14.4" hidden="1" thickTop="1" x14ac:dyDescent="0.25">
      <c r="A143" s="70"/>
      <c r="B143" s="70"/>
      <c r="C143" s="70"/>
      <c r="D143" s="70"/>
      <c r="E143" s="70"/>
      <c r="F143" s="70"/>
      <c r="H143" s="71"/>
      <c r="I143" s="71"/>
      <c r="J143" s="71"/>
      <c r="K143" s="71"/>
      <c r="L143" s="71"/>
      <c r="M143" s="71"/>
      <c r="N143" s="74">
        <v>3</v>
      </c>
      <c r="O143" s="75">
        <f>IF($L$138=3, 75000,0)</f>
        <v>0</v>
      </c>
      <c r="P143" s="708"/>
      <c r="Q143" s="1585"/>
      <c r="R143" s="1077"/>
      <c r="S143" s="866"/>
      <c r="T143" s="866"/>
      <c r="U143" s="866"/>
      <c r="V143" s="866"/>
      <c r="W143" s="866"/>
      <c r="X143" s="866"/>
      <c r="Y143" s="866"/>
      <c r="Z143" s="866"/>
      <c r="AA143" s="866"/>
      <c r="AC143" s="230"/>
      <c r="AD143" s="265"/>
      <c r="AE143" s="265"/>
      <c r="AF143" s="230"/>
      <c r="AG143" s="230"/>
      <c r="AH143" s="265"/>
      <c r="AI143" s="265"/>
    </row>
    <row r="144" spans="1:84" ht="13.5" hidden="1" customHeight="1" x14ac:dyDescent="0.25">
      <c r="A144" s="70"/>
      <c r="B144" s="70"/>
      <c r="C144" s="70"/>
      <c r="D144" s="70"/>
      <c r="E144" s="70"/>
      <c r="F144" s="70"/>
      <c r="H144" s="71"/>
      <c r="I144" s="71"/>
      <c r="J144" s="71"/>
      <c r="K144" s="71"/>
      <c r="L144" s="71"/>
      <c r="M144" s="71"/>
      <c r="N144" s="74">
        <v>4</v>
      </c>
      <c r="O144" s="75">
        <f>IF($L$138=4, 100000,0)</f>
        <v>0</v>
      </c>
      <c r="P144" s="708"/>
      <c r="Q144" s="1585"/>
      <c r="R144" s="1077"/>
      <c r="S144" s="866"/>
      <c r="T144" s="866"/>
      <c r="U144" s="866"/>
      <c r="V144" s="866"/>
      <c r="W144" s="866"/>
      <c r="X144" s="866"/>
      <c r="Y144" s="866"/>
      <c r="Z144" s="866"/>
      <c r="AA144" s="866"/>
      <c r="AC144" s="230"/>
      <c r="AD144" s="265"/>
      <c r="AE144" s="265"/>
      <c r="AF144" s="230"/>
      <c r="AG144" s="230"/>
      <c r="AH144" s="265"/>
      <c r="AI144" s="265"/>
    </row>
    <row r="145" spans="1:35" ht="13.5" hidden="1" customHeight="1" x14ac:dyDescent="0.25">
      <c r="A145" s="70"/>
      <c r="B145" s="70"/>
      <c r="C145" s="70"/>
      <c r="D145" s="70"/>
      <c r="E145" s="70"/>
      <c r="F145" s="70"/>
      <c r="H145" s="71"/>
      <c r="I145" s="71"/>
      <c r="J145" s="71"/>
      <c r="K145" s="71"/>
      <c r="L145" s="71"/>
      <c r="M145" s="71"/>
      <c r="N145" s="74">
        <v>5</v>
      </c>
      <c r="O145" s="75">
        <f>IF($L$138=5, 125000,0)</f>
        <v>0</v>
      </c>
      <c r="P145" s="708"/>
      <c r="Q145" s="1585"/>
      <c r="R145" s="1077"/>
      <c r="S145" s="866"/>
      <c r="T145" s="866"/>
      <c r="U145" s="866"/>
      <c r="V145" s="866"/>
      <c r="W145" s="866"/>
      <c r="X145" s="866"/>
      <c r="Y145" s="866"/>
      <c r="Z145" s="866"/>
      <c r="AA145" s="866"/>
      <c r="AC145" s="230"/>
      <c r="AD145" s="265"/>
      <c r="AE145" s="265"/>
      <c r="AF145" s="230"/>
      <c r="AG145" s="230"/>
      <c r="AH145" s="265"/>
      <c r="AI145" s="265"/>
    </row>
    <row r="146" spans="1:35" ht="14.4" hidden="1" thickTop="1" x14ac:dyDescent="0.25">
      <c r="A146" s="70"/>
      <c r="B146" s="70"/>
      <c r="C146" s="70"/>
      <c r="D146" s="70"/>
      <c r="E146" s="70"/>
      <c r="F146" s="70"/>
      <c r="H146" s="71"/>
      <c r="I146" s="71"/>
      <c r="J146" s="71"/>
      <c r="K146" s="71"/>
      <c r="L146" s="71"/>
      <c r="M146" s="71"/>
      <c r="N146" s="74">
        <v>6</v>
      </c>
      <c r="O146" s="75">
        <f>IF($L$138=6, 150000,0)</f>
        <v>0</v>
      </c>
      <c r="P146" s="708"/>
      <c r="Q146" s="1585"/>
      <c r="R146" s="1077"/>
      <c r="S146" s="866"/>
      <c r="T146" s="866"/>
      <c r="U146" s="866"/>
      <c r="V146" s="866"/>
      <c r="W146" s="866"/>
      <c r="X146" s="866"/>
      <c r="Y146" s="866"/>
      <c r="Z146" s="866"/>
      <c r="AA146" s="866"/>
      <c r="AC146" s="230"/>
      <c r="AD146" s="265"/>
      <c r="AE146" s="265"/>
      <c r="AF146" s="230"/>
      <c r="AG146" s="230"/>
      <c r="AH146" s="265"/>
      <c r="AI146" s="265"/>
    </row>
    <row r="147" spans="1:35" ht="14.4" hidden="1" thickTop="1" x14ac:dyDescent="0.25">
      <c r="A147" s="70"/>
      <c r="B147" s="70"/>
      <c r="C147" s="70"/>
      <c r="D147" s="70"/>
      <c r="E147" s="70"/>
      <c r="F147" s="70"/>
      <c r="H147" s="71"/>
      <c r="I147" s="71"/>
      <c r="J147" s="71"/>
      <c r="K147" s="71"/>
      <c r="L147" s="71"/>
      <c r="M147" s="71"/>
      <c r="N147" s="74">
        <v>7</v>
      </c>
      <c r="O147" s="75">
        <f>IF($L$138=7, 175000,0)</f>
        <v>0</v>
      </c>
      <c r="P147" s="708"/>
      <c r="Q147" s="1585"/>
      <c r="R147" s="1077"/>
      <c r="S147" s="866"/>
      <c r="T147" s="866"/>
      <c r="U147" s="866"/>
      <c r="V147" s="866"/>
      <c r="W147" s="866"/>
      <c r="X147" s="866"/>
      <c r="Y147" s="866"/>
      <c r="Z147" s="866"/>
      <c r="AA147" s="866"/>
      <c r="AC147" s="230"/>
      <c r="AD147" s="265"/>
      <c r="AE147" s="265"/>
      <c r="AF147" s="230"/>
      <c r="AG147" s="230"/>
      <c r="AH147" s="265"/>
      <c r="AI147" s="265"/>
    </row>
    <row r="148" spans="1:35" ht="14.4" hidden="1" thickTop="1" x14ac:dyDescent="0.25">
      <c r="A148" s="70"/>
      <c r="B148" s="70"/>
      <c r="C148" s="70"/>
      <c r="D148" s="70"/>
      <c r="E148" s="70"/>
      <c r="F148" s="70"/>
      <c r="H148" s="71"/>
      <c r="I148" s="71"/>
      <c r="J148" s="71"/>
      <c r="K148" s="71"/>
      <c r="L148" s="71"/>
      <c r="M148" s="71"/>
      <c r="N148" s="74">
        <v>8</v>
      </c>
      <c r="O148" s="75">
        <f>IF($L$138=8, 200000,0)</f>
        <v>0</v>
      </c>
      <c r="P148" s="708"/>
      <c r="Q148" s="1585"/>
      <c r="R148" s="1077"/>
      <c r="S148" s="866"/>
      <c r="T148" s="866"/>
      <c r="U148" s="866"/>
      <c r="V148" s="866"/>
      <c r="W148" s="866"/>
      <c r="X148" s="866"/>
      <c r="Y148" s="866"/>
      <c r="Z148" s="866"/>
      <c r="AA148" s="866"/>
      <c r="AC148" s="230"/>
      <c r="AD148" s="265"/>
      <c r="AE148" s="265"/>
      <c r="AF148" s="230"/>
      <c r="AG148" s="230"/>
      <c r="AH148" s="265"/>
      <c r="AI148" s="265"/>
    </row>
    <row r="149" spans="1:35" ht="14.4" hidden="1" thickTop="1" x14ac:dyDescent="0.25">
      <c r="A149" s="70"/>
      <c r="B149" s="70"/>
      <c r="C149" s="70"/>
      <c r="D149" s="70"/>
      <c r="E149" s="70"/>
      <c r="F149" s="70"/>
      <c r="H149" s="71"/>
      <c r="I149" s="71"/>
      <c r="J149" s="71"/>
      <c r="K149" s="71"/>
      <c r="L149" s="71"/>
      <c r="M149" s="71"/>
      <c r="N149" s="74">
        <v>9</v>
      </c>
      <c r="O149" s="75">
        <f>IF($L$138=9, 225000,0)</f>
        <v>0</v>
      </c>
      <c r="P149" s="708"/>
      <c r="Q149" s="1585"/>
      <c r="R149" s="1077"/>
      <c r="S149" s="866"/>
      <c r="T149" s="866"/>
      <c r="U149" s="866"/>
      <c r="V149" s="866"/>
      <c r="W149" s="866"/>
      <c r="X149" s="866"/>
      <c r="Y149" s="866"/>
      <c r="Z149" s="866"/>
      <c r="AA149" s="866"/>
      <c r="AC149" s="230"/>
      <c r="AD149" s="265"/>
      <c r="AE149" s="265"/>
      <c r="AF149" s="230"/>
      <c r="AG149" s="230"/>
      <c r="AH149" s="265"/>
      <c r="AI149" s="265"/>
    </row>
    <row r="150" spans="1:35" ht="14.4" hidden="1" thickTop="1" x14ac:dyDescent="0.25">
      <c r="A150" s="70"/>
      <c r="B150" s="70"/>
      <c r="C150" s="70"/>
      <c r="D150" s="70"/>
      <c r="E150" s="70"/>
      <c r="F150" s="70"/>
      <c r="H150" s="71"/>
      <c r="I150" s="71"/>
      <c r="J150" s="71"/>
      <c r="K150" s="71"/>
      <c r="L150" s="71"/>
      <c r="M150" s="71"/>
      <c r="N150" s="74">
        <v>10</v>
      </c>
      <c r="O150" s="75">
        <f>IF($L$138=10, 250000,0)</f>
        <v>0</v>
      </c>
      <c r="P150" s="708"/>
      <c r="Q150" s="1585"/>
      <c r="R150" s="1077"/>
      <c r="S150" s="866"/>
      <c r="T150" s="866"/>
      <c r="U150" s="866"/>
      <c r="V150" s="866"/>
      <c r="W150" s="866"/>
      <c r="X150" s="866"/>
      <c r="Y150" s="866"/>
      <c r="Z150" s="866"/>
      <c r="AA150" s="866"/>
      <c r="AC150" s="230"/>
      <c r="AD150" s="265"/>
      <c r="AE150" s="265"/>
      <c r="AF150" s="230"/>
      <c r="AG150" s="230"/>
      <c r="AH150" s="265"/>
      <c r="AI150" s="265"/>
    </row>
    <row r="151" spans="1:35" ht="14.4" hidden="1" thickTop="1" x14ac:dyDescent="0.25">
      <c r="A151" s="70"/>
      <c r="B151" s="70"/>
      <c r="C151" s="70"/>
      <c r="D151" s="70"/>
      <c r="E151" s="70"/>
      <c r="F151" s="70"/>
      <c r="H151" s="71"/>
      <c r="I151" s="71"/>
      <c r="J151" s="71"/>
      <c r="K151" s="71"/>
      <c r="L151" s="71"/>
      <c r="M151" s="71"/>
      <c r="N151" s="74">
        <v>11</v>
      </c>
      <c r="O151" s="75">
        <f>IF($L$138=11, 275000,0)</f>
        <v>0</v>
      </c>
      <c r="P151" s="708"/>
      <c r="Q151" s="1585"/>
      <c r="R151" s="1077"/>
      <c r="S151" s="866"/>
      <c r="T151" s="866"/>
      <c r="U151" s="866"/>
      <c r="V151" s="866"/>
      <c r="W151" s="866"/>
      <c r="X151" s="866"/>
      <c r="Y151" s="866"/>
      <c r="Z151" s="866"/>
      <c r="AA151" s="866"/>
      <c r="AC151" s="230"/>
      <c r="AD151" s="265"/>
      <c r="AE151" s="265"/>
      <c r="AF151" s="230"/>
      <c r="AG151" s="230"/>
      <c r="AH151" s="265"/>
      <c r="AI151" s="265"/>
    </row>
    <row r="152" spans="1:35" ht="14.4" hidden="1" thickTop="1" x14ac:dyDescent="0.25">
      <c r="A152" s="70"/>
      <c r="B152" s="70"/>
      <c r="C152" s="70"/>
      <c r="D152" s="70"/>
      <c r="E152" s="70"/>
      <c r="F152" s="70"/>
      <c r="H152" s="71"/>
      <c r="I152" s="71"/>
      <c r="J152" s="71"/>
      <c r="K152" s="71"/>
      <c r="L152" s="71"/>
      <c r="M152" s="71"/>
      <c r="N152" s="74">
        <v>12</v>
      </c>
      <c r="O152" s="75">
        <f>IF($L$138=12, 300000,0)</f>
        <v>0</v>
      </c>
      <c r="P152" s="708"/>
      <c r="Q152" s="1585"/>
      <c r="R152" s="1077"/>
      <c r="S152" s="866"/>
      <c r="T152" s="866"/>
      <c r="U152" s="866"/>
      <c r="V152" s="866"/>
      <c r="W152" s="866"/>
      <c r="X152" s="866"/>
      <c r="Y152" s="866"/>
      <c r="Z152" s="866"/>
      <c r="AA152" s="866"/>
      <c r="AC152" s="230"/>
      <c r="AD152" s="265"/>
      <c r="AE152" s="265"/>
      <c r="AF152" s="230"/>
      <c r="AG152" s="230"/>
      <c r="AH152" s="265"/>
      <c r="AI152" s="265"/>
    </row>
    <row r="153" spans="1:35" ht="14.4" hidden="1" thickTop="1" x14ac:dyDescent="0.25">
      <c r="A153" s="70"/>
      <c r="B153" s="70"/>
      <c r="C153" s="70"/>
      <c r="D153" s="70"/>
      <c r="E153" s="70"/>
      <c r="F153" s="70"/>
      <c r="H153" s="71"/>
      <c r="I153" s="71"/>
      <c r="J153" s="71"/>
      <c r="K153" s="71"/>
      <c r="L153" s="71"/>
      <c r="M153" s="71"/>
      <c r="N153" s="74">
        <v>13</v>
      </c>
      <c r="O153" s="75">
        <f>IF($L$138=13, 325000,0)</f>
        <v>0</v>
      </c>
      <c r="P153" s="708"/>
      <c r="Q153" s="1585"/>
      <c r="R153" s="1077"/>
      <c r="S153" s="866"/>
      <c r="T153" s="866"/>
      <c r="U153" s="866"/>
      <c r="V153" s="866"/>
      <c r="W153" s="866"/>
      <c r="X153" s="866"/>
      <c r="Y153" s="866"/>
      <c r="Z153" s="866"/>
      <c r="AA153" s="866"/>
      <c r="AC153" s="230"/>
      <c r="AD153" s="265"/>
      <c r="AE153" s="265"/>
      <c r="AF153" s="230"/>
      <c r="AG153" s="230"/>
      <c r="AH153" s="265"/>
      <c r="AI153" s="265"/>
    </row>
    <row r="154" spans="1:35" ht="14.4" hidden="1" thickTop="1" x14ac:dyDescent="0.25">
      <c r="A154" s="70"/>
      <c r="B154" s="70"/>
      <c r="C154" s="70"/>
      <c r="D154" s="70"/>
      <c r="E154" s="70"/>
      <c r="F154" s="70"/>
      <c r="H154" s="71"/>
      <c r="I154" s="71"/>
      <c r="J154" s="71"/>
      <c r="K154" s="71"/>
      <c r="L154" s="71"/>
      <c r="M154" s="71"/>
      <c r="N154" s="74">
        <v>14</v>
      </c>
      <c r="O154" s="75">
        <f>IF($L$138=14, 350000,0)</f>
        <v>0</v>
      </c>
      <c r="P154" s="708"/>
      <c r="Q154" s="1585"/>
      <c r="R154" s="1077"/>
      <c r="S154" s="866"/>
      <c r="T154" s="866"/>
      <c r="U154" s="866"/>
      <c r="V154" s="866"/>
      <c r="W154" s="866"/>
      <c r="X154" s="866"/>
      <c r="Y154" s="866"/>
      <c r="Z154" s="866"/>
      <c r="AA154" s="866"/>
      <c r="AC154" s="230"/>
      <c r="AD154" s="265"/>
      <c r="AE154" s="265"/>
      <c r="AF154" s="230"/>
      <c r="AG154" s="230"/>
      <c r="AH154" s="265"/>
      <c r="AI154" s="265"/>
    </row>
    <row r="155" spans="1:35" ht="14.4" hidden="1" thickTop="1" x14ac:dyDescent="0.25">
      <c r="A155" s="70"/>
      <c r="B155" s="70"/>
      <c r="C155" s="70"/>
      <c r="D155" s="70"/>
      <c r="E155" s="70"/>
      <c r="F155" s="70"/>
      <c r="H155" s="71"/>
      <c r="I155" s="71"/>
      <c r="J155" s="71"/>
      <c r="K155" s="71"/>
      <c r="L155" s="71"/>
      <c r="M155" s="71"/>
      <c r="N155" s="74">
        <v>15</v>
      </c>
      <c r="O155" s="75">
        <f>IF($L$138=15, 375000,0)</f>
        <v>0</v>
      </c>
      <c r="P155" s="708"/>
      <c r="Q155" s="1585"/>
      <c r="R155" s="1077"/>
      <c r="S155" s="866"/>
      <c r="T155" s="866"/>
      <c r="U155" s="866"/>
      <c r="V155" s="866"/>
      <c r="W155" s="866"/>
      <c r="X155" s="866"/>
      <c r="Y155" s="866"/>
      <c r="Z155" s="866"/>
      <c r="AA155" s="866"/>
      <c r="AC155" s="230"/>
      <c r="AD155" s="265"/>
      <c r="AE155" s="265"/>
      <c r="AF155" s="230"/>
      <c r="AG155" s="230"/>
      <c r="AH155" s="265"/>
      <c r="AI155" s="265"/>
    </row>
    <row r="156" spans="1:35" ht="14.4" hidden="1" thickTop="1" x14ac:dyDescent="0.25">
      <c r="A156" s="70"/>
      <c r="B156" s="70"/>
      <c r="C156" s="70"/>
      <c r="D156" s="70"/>
      <c r="E156" s="70"/>
      <c r="F156" s="70"/>
      <c r="H156" s="71"/>
      <c r="I156" s="71"/>
      <c r="J156" s="71"/>
      <c r="K156" s="71"/>
      <c r="L156" s="71"/>
      <c r="M156" s="71"/>
      <c r="N156" s="74">
        <v>16</v>
      </c>
      <c r="O156" s="75">
        <f>IF($L$138=16, 400000,0)</f>
        <v>0</v>
      </c>
      <c r="P156" s="708"/>
      <c r="Q156" s="1585"/>
      <c r="R156" s="1077"/>
      <c r="S156" s="866"/>
      <c r="T156" s="866"/>
      <c r="U156" s="866"/>
      <c r="V156" s="866"/>
      <c r="W156" s="866"/>
      <c r="X156" s="866"/>
      <c r="Y156" s="866"/>
      <c r="Z156" s="866"/>
      <c r="AA156" s="866"/>
      <c r="AC156" s="230"/>
      <c r="AD156" s="265"/>
      <c r="AE156" s="265"/>
      <c r="AF156" s="230"/>
      <c r="AG156" s="230"/>
      <c r="AH156" s="265"/>
      <c r="AI156" s="265"/>
    </row>
    <row r="157" spans="1:35" ht="14.4" hidden="1" thickTop="1" x14ac:dyDescent="0.25">
      <c r="A157" s="70"/>
      <c r="B157" s="70"/>
      <c r="C157" s="70"/>
      <c r="D157" s="70"/>
      <c r="E157" s="70"/>
      <c r="F157" s="70"/>
      <c r="H157" s="71"/>
      <c r="I157" s="71"/>
      <c r="J157" s="71"/>
      <c r="K157" s="71"/>
      <c r="L157" s="71"/>
      <c r="M157" s="71"/>
      <c r="N157" s="71">
        <v>17</v>
      </c>
      <c r="O157" s="75">
        <f>IF($L$138=17, 425000,0)</f>
        <v>0</v>
      </c>
      <c r="P157" s="708"/>
      <c r="Q157" s="1585"/>
      <c r="R157" s="1077"/>
      <c r="S157" s="866"/>
      <c r="T157" s="866"/>
      <c r="U157" s="866"/>
      <c r="V157" s="866"/>
      <c r="W157" s="866"/>
      <c r="X157" s="866"/>
      <c r="Y157" s="866"/>
      <c r="Z157" s="866"/>
      <c r="AA157" s="866"/>
      <c r="AC157" s="230"/>
      <c r="AD157" s="265"/>
      <c r="AE157" s="265"/>
      <c r="AF157" s="230"/>
      <c r="AG157" s="230"/>
      <c r="AH157" s="265"/>
      <c r="AI157" s="265"/>
    </row>
    <row r="158" spans="1:35" ht="14.4" hidden="1" thickTop="1" x14ac:dyDescent="0.25">
      <c r="A158" s="70"/>
      <c r="B158" s="70"/>
      <c r="C158" s="70"/>
      <c r="D158" s="70"/>
      <c r="E158" s="70"/>
      <c r="F158" s="70"/>
      <c r="H158" s="71"/>
      <c r="I158" s="71"/>
      <c r="J158" s="71"/>
      <c r="K158" s="71"/>
      <c r="L158" s="71"/>
      <c r="M158" s="71"/>
      <c r="N158" s="71">
        <v>18</v>
      </c>
      <c r="O158" s="75">
        <f>IF($L$138=18, 450000,0)</f>
        <v>0</v>
      </c>
      <c r="P158" s="708"/>
      <c r="Q158" s="1585"/>
      <c r="R158" s="1077"/>
      <c r="S158" s="866"/>
      <c r="T158" s="866"/>
      <c r="U158" s="866"/>
      <c r="V158" s="866"/>
      <c r="W158" s="866"/>
      <c r="X158" s="866"/>
      <c r="Y158" s="866"/>
      <c r="Z158" s="866"/>
      <c r="AA158" s="866"/>
      <c r="AC158" s="230"/>
      <c r="AD158" s="265"/>
      <c r="AE158" s="265"/>
      <c r="AF158" s="230"/>
      <c r="AG158" s="230"/>
      <c r="AH158" s="265"/>
      <c r="AI158" s="265"/>
    </row>
    <row r="159" spans="1:35" ht="14.4" hidden="1" thickTop="1" x14ac:dyDescent="0.25">
      <c r="A159" s="70"/>
      <c r="B159" s="70"/>
      <c r="C159" s="70"/>
      <c r="D159" s="70"/>
      <c r="E159" s="70"/>
      <c r="F159" s="70"/>
      <c r="H159" s="71"/>
      <c r="I159" s="71"/>
      <c r="J159" s="71"/>
      <c r="K159" s="71"/>
      <c r="L159" s="71"/>
      <c r="M159" s="71"/>
      <c r="N159" s="71">
        <v>19</v>
      </c>
      <c r="O159" s="75">
        <f>IF($L$138=19, 475000,0)</f>
        <v>0</v>
      </c>
      <c r="P159" s="708"/>
      <c r="Q159" s="1585"/>
      <c r="R159" s="1077"/>
      <c r="S159" s="866"/>
      <c r="T159" s="866"/>
      <c r="U159" s="866"/>
      <c r="V159" s="866"/>
      <c r="W159" s="866"/>
      <c r="X159" s="866"/>
      <c r="Y159" s="866"/>
      <c r="Z159" s="866"/>
      <c r="AA159" s="866"/>
      <c r="AC159" s="230"/>
      <c r="AD159" s="265"/>
      <c r="AE159" s="265"/>
      <c r="AF159" s="230"/>
      <c r="AG159" s="230"/>
      <c r="AH159" s="265"/>
      <c r="AI159" s="265"/>
    </row>
    <row r="160" spans="1:35" ht="14.4" hidden="1" thickTop="1" x14ac:dyDescent="0.25">
      <c r="A160" s="70"/>
      <c r="B160" s="70"/>
      <c r="C160" s="70"/>
      <c r="D160" s="70"/>
      <c r="E160" s="70"/>
      <c r="F160" s="70"/>
      <c r="H160" s="71"/>
      <c r="I160" s="71"/>
      <c r="J160" s="71"/>
      <c r="K160" s="71"/>
      <c r="L160" s="71"/>
      <c r="M160" s="71"/>
      <c r="N160" s="71">
        <v>20</v>
      </c>
      <c r="O160" s="75">
        <f>IF($L$138=20, 500000,0)</f>
        <v>0</v>
      </c>
      <c r="P160" s="708"/>
      <c r="Q160" s="1585"/>
      <c r="R160" s="1077"/>
      <c r="S160" s="866"/>
      <c r="T160" s="866"/>
      <c r="U160" s="866"/>
      <c r="V160" s="866"/>
      <c r="W160" s="866"/>
      <c r="X160" s="866"/>
      <c r="Y160" s="866"/>
      <c r="Z160" s="866"/>
      <c r="AA160" s="866"/>
      <c r="AC160" s="230"/>
      <c r="AD160" s="265"/>
      <c r="AE160" s="265"/>
      <c r="AF160" s="230"/>
      <c r="AG160" s="230"/>
      <c r="AH160" s="265"/>
      <c r="AI160" s="265"/>
    </row>
    <row r="161" spans="1:84" ht="14.4" hidden="1" thickTop="1" x14ac:dyDescent="0.25">
      <c r="A161" s="70"/>
      <c r="B161" s="70"/>
      <c r="C161" s="70"/>
      <c r="D161" s="70"/>
      <c r="E161" s="70"/>
      <c r="F161" s="70"/>
      <c r="H161" s="71"/>
      <c r="I161" s="71"/>
      <c r="J161" s="71"/>
      <c r="K161" s="71"/>
      <c r="L161" s="71"/>
      <c r="M161" s="71"/>
      <c r="N161" s="71">
        <v>21</v>
      </c>
      <c r="O161" s="75">
        <f>IF($L$138=21, 525000,0)</f>
        <v>0</v>
      </c>
      <c r="P161" s="708"/>
      <c r="Q161" s="1585"/>
      <c r="R161" s="1077"/>
      <c r="S161" s="866"/>
      <c r="T161" s="866"/>
      <c r="U161" s="866"/>
      <c r="V161" s="866"/>
      <c r="W161" s="866"/>
      <c r="X161" s="866"/>
      <c r="Y161" s="866"/>
      <c r="Z161" s="866"/>
      <c r="AA161" s="866"/>
      <c r="AC161" s="230"/>
      <c r="AD161" s="265"/>
      <c r="AE161" s="265"/>
      <c r="AF161" s="230"/>
      <c r="AG161" s="230"/>
      <c r="AH161" s="265"/>
      <c r="AI161" s="265"/>
    </row>
    <row r="162" spans="1:84" ht="14.4" hidden="1" thickTop="1" x14ac:dyDescent="0.25">
      <c r="A162" s="70"/>
      <c r="B162" s="70"/>
      <c r="C162" s="70"/>
      <c r="D162" s="70"/>
      <c r="E162" s="70"/>
      <c r="F162" s="70"/>
      <c r="H162" s="71"/>
      <c r="I162" s="71"/>
      <c r="J162" s="71"/>
      <c r="K162" s="71"/>
      <c r="L162" s="71"/>
      <c r="M162" s="71"/>
      <c r="N162" s="71">
        <v>22</v>
      </c>
      <c r="O162" s="75">
        <f>IF($L$138=22, 555000,0)</f>
        <v>0</v>
      </c>
      <c r="P162" s="708"/>
      <c r="Q162" s="1585"/>
      <c r="R162" s="1077"/>
      <c r="S162" s="866"/>
      <c r="T162" s="866"/>
      <c r="U162" s="866"/>
      <c r="V162" s="866"/>
      <c r="W162" s="866"/>
      <c r="X162" s="866"/>
      <c r="Y162" s="866"/>
      <c r="Z162" s="866"/>
      <c r="AA162" s="866"/>
      <c r="AC162" s="230"/>
      <c r="AD162" s="265"/>
      <c r="AE162" s="265"/>
      <c r="AF162" s="230"/>
      <c r="AG162" s="230"/>
      <c r="AH162" s="265"/>
      <c r="AI162" s="265"/>
    </row>
    <row r="163" spans="1:84" ht="14.4" hidden="1" thickTop="1" x14ac:dyDescent="0.25">
      <c r="A163" s="70"/>
      <c r="B163" s="70"/>
      <c r="C163" s="70"/>
      <c r="D163" s="70"/>
      <c r="E163" s="70"/>
      <c r="F163" s="70"/>
      <c r="H163" s="71"/>
      <c r="I163" s="71"/>
      <c r="J163" s="71"/>
      <c r="K163" s="71"/>
      <c r="L163" s="71"/>
      <c r="M163" s="71"/>
      <c r="N163" s="71">
        <v>23</v>
      </c>
      <c r="O163" s="75">
        <f>IF($L$138=23, 575000,0)</f>
        <v>0</v>
      </c>
      <c r="P163" s="708"/>
      <c r="Q163" s="1585"/>
      <c r="R163" s="1077"/>
      <c r="S163" s="866"/>
      <c r="T163" s="866"/>
      <c r="U163" s="866"/>
      <c r="V163" s="866"/>
      <c r="W163" s="866"/>
      <c r="X163" s="866"/>
      <c r="Y163" s="866"/>
      <c r="Z163" s="866"/>
      <c r="AA163" s="866"/>
      <c r="AC163" s="230"/>
      <c r="AD163" s="265"/>
      <c r="AE163" s="265"/>
      <c r="AF163" s="230"/>
      <c r="AG163" s="230"/>
      <c r="AH163" s="265"/>
      <c r="AI163" s="265"/>
    </row>
    <row r="164" spans="1:84" ht="14.4" hidden="1" thickTop="1" x14ac:dyDescent="0.25">
      <c r="A164" s="70"/>
      <c r="B164" s="70"/>
      <c r="C164" s="70"/>
      <c r="D164" s="70"/>
      <c r="E164" s="70"/>
      <c r="F164" s="70"/>
      <c r="H164" s="71"/>
      <c r="I164" s="71"/>
      <c r="J164" s="71"/>
      <c r="K164" s="71"/>
      <c r="L164" s="71"/>
      <c r="M164" s="71"/>
      <c r="N164" s="71">
        <v>24</v>
      </c>
      <c r="O164" s="75">
        <f>IF($L$138=24, 600000,0)</f>
        <v>0</v>
      </c>
      <c r="P164" s="708"/>
      <c r="Q164" s="1585"/>
      <c r="R164" s="1077"/>
      <c r="S164" s="866"/>
      <c r="T164" s="866"/>
      <c r="U164" s="866"/>
      <c r="V164" s="866"/>
      <c r="W164" s="866"/>
      <c r="X164" s="866"/>
      <c r="Y164" s="866"/>
      <c r="Z164" s="866"/>
      <c r="AA164" s="866"/>
      <c r="AC164" s="230"/>
      <c r="AD164" s="265"/>
      <c r="AE164" s="265"/>
      <c r="AF164" s="230"/>
      <c r="AG164" s="230"/>
      <c r="AH164" s="265"/>
      <c r="AI164" s="265"/>
    </row>
    <row r="165" spans="1:84" ht="14.4" hidden="1" thickTop="1" x14ac:dyDescent="0.25">
      <c r="A165" s="70"/>
      <c r="B165" s="70"/>
      <c r="C165" s="70"/>
      <c r="D165" s="70"/>
      <c r="E165" s="70"/>
      <c r="F165" s="70"/>
      <c r="H165" s="71"/>
      <c r="I165" s="71"/>
      <c r="J165" s="71"/>
      <c r="K165" s="71"/>
      <c r="L165" s="71"/>
      <c r="M165" s="71"/>
      <c r="N165" s="71">
        <v>25</v>
      </c>
      <c r="O165" s="75">
        <f>IF($L$138=25, 625000,0)</f>
        <v>0</v>
      </c>
      <c r="P165" s="708"/>
      <c r="Q165" s="1585"/>
      <c r="R165" s="1077"/>
      <c r="S165" s="866"/>
      <c r="T165" s="866"/>
      <c r="U165" s="866"/>
      <c r="V165" s="866"/>
      <c r="W165" s="866"/>
      <c r="X165" s="866"/>
      <c r="Y165" s="866"/>
      <c r="Z165" s="866"/>
      <c r="AA165" s="866"/>
      <c r="AC165" s="230"/>
      <c r="AD165" s="265"/>
      <c r="AE165" s="265"/>
      <c r="AF165" s="230"/>
      <c r="AG165" s="230"/>
      <c r="AH165" s="265"/>
      <c r="AI165" s="265"/>
    </row>
    <row r="166" spans="1:84" ht="14.4" hidden="1" thickTop="1" x14ac:dyDescent="0.25">
      <c r="A166" s="70"/>
      <c r="B166" s="70"/>
      <c r="C166" s="70"/>
      <c r="D166" s="70"/>
      <c r="E166" s="70"/>
      <c r="F166" s="70"/>
      <c r="H166" s="71"/>
      <c r="I166" s="71"/>
      <c r="J166" s="71"/>
      <c r="K166" s="71"/>
      <c r="L166" s="71"/>
      <c r="M166" s="71"/>
      <c r="N166" s="71"/>
      <c r="O166" s="75"/>
      <c r="P166" s="708"/>
      <c r="Q166" s="1585"/>
      <c r="R166" s="1077"/>
      <c r="S166" s="866"/>
      <c r="T166" s="866"/>
      <c r="U166" s="866"/>
      <c r="V166" s="866"/>
      <c r="W166" s="866"/>
      <c r="X166" s="866"/>
      <c r="Y166" s="866"/>
      <c r="Z166" s="866"/>
      <c r="AA166" s="866"/>
      <c r="AC166" s="230"/>
      <c r="AD166" s="265"/>
      <c r="AE166" s="265"/>
      <c r="AF166" s="230"/>
      <c r="AG166" s="230"/>
      <c r="AH166" s="265"/>
      <c r="AI166" s="265"/>
    </row>
    <row r="167" spans="1:84" ht="15" thickTop="1" thickBot="1" x14ac:dyDescent="0.3">
      <c r="A167" s="453"/>
      <c r="B167" s="453"/>
      <c r="C167" s="453"/>
      <c r="D167" s="328"/>
      <c r="E167" s="328"/>
      <c r="F167" s="328"/>
      <c r="H167" s="328"/>
      <c r="I167" s="328"/>
      <c r="J167" s="328"/>
      <c r="K167" s="328"/>
      <c r="L167" s="328"/>
      <c r="M167" s="328"/>
      <c r="N167" s="328"/>
      <c r="O167" s="443"/>
      <c r="P167" s="708"/>
      <c r="Q167" s="1585"/>
      <c r="R167" s="1077"/>
      <c r="S167" s="866"/>
      <c r="T167" s="866"/>
      <c r="U167" s="866"/>
      <c r="V167" s="866"/>
      <c r="W167" s="866"/>
      <c r="X167" s="866"/>
      <c r="Y167" s="866"/>
      <c r="Z167" s="866"/>
      <c r="AA167" s="866"/>
      <c r="AC167" s="230"/>
      <c r="AD167" s="265"/>
      <c r="AE167" s="265"/>
      <c r="AF167" s="230"/>
      <c r="AG167" s="230"/>
      <c r="AH167" s="265"/>
      <c r="AI167" s="265"/>
    </row>
    <row r="168" spans="1:84" ht="15.6" thickTop="1" thickBot="1" x14ac:dyDescent="0.35">
      <c r="A168" s="1226" t="s">
        <v>376</v>
      </c>
      <c r="B168" s="319"/>
      <c r="C168" s="319"/>
      <c r="D168" s="320"/>
      <c r="E168" s="320"/>
      <c r="F168" s="320"/>
      <c r="G168" s="458"/>
      <c r="H168" s="320"/>
      <c r="I168" s="320"/>
      <c r="J168" s="320"/>
      <c r="K168" s="320"/>
      <c r="L168" s="321" t="s">
        <v>60</v>
      </c>
      <c r="M168" s="320"/>
      <c r="N168" s="320"/>
      <c r="O168" s="1094" t="s">
        <v>103</v>
      </c>
      <c r="P168" s="708"/>
      <c r="Q168" s="1585"/>
      <c r="R168" s="1077"/>
      <c r="S168" s="866"/>
      <c r="T168" s="866"/>
      <c r="U168" s="866"/>
      <c r="V168" s="866"/>
      <c r="W168" s="866"/>
      <c r="X168" s="866"/>
      <c r="Y168" s="866"/>
      <c r="Z168" s="866"/>
      <c r="AA168" s="866"/>
      <c r="AC168" s="230"/>
      <c r="AD168" s="265"/>
      <c r="AE168" s="265"/>
      <c r="AF168" s="230"/>
      <c r="AG168" s="230"/>
      <c r="AH168" s="265"/>
      <c r="AI168" s="265"/>
    </row>
    <row r="169" spans="1:84" ht="14.4" thickTop="1" x14ac:dyDescent="0.25">
      <c r="A169" s="1226" t="s">
        <v>329</v>
      </c>
      <c r="B169" s="319"/>
      <c r="C169" s="319"/>
      <c r="D169" s="320"/>
      <c r="E169" s="320"/>
      <c r="F169" s="320"/>
      <c r="G169" s="320"/>
      <c r="H169" s="320"/>
      <c r="I169" s="320"/>
      <c r="J169" s="320"/>
      <c r="K169" s="320"/>
      <c r="L169" s="320"/>
      <c r="M169" s="320"/>
      <c r="N169" s="320"/>
      <c r="O169" s="438"/>
      <c r="P169" s="708"/>
      <c r="Q169" s="1585"/>
      <c r="R169" s="1077"/>
      <c r="S169" s="866"/>
      <c r="T169" s="866"/>
      <c r="U169" s="866"/>
      <c r="V169" s="866"/>
      <c r="W169" s="866"/>
      <c r="X169" s="866"/>
      <c r="Y169" s="866"/>
      <c r="Z169" s="866"/>
      <c r="AA169" s="866"/>
      <c r="AC169" s="230"/>
      <c r="AD169" s="265"/>
      <c r="AE169" s="265"/>
      <c r="AF169" s="230"/>
      <c r="AG169" s="230"/>
      <c r="AH169" s="265"/>
      <c r="AI169" s="265"/>
    </row>
    <row r="170" spans="1:84" x14ac:dyDescent="0.25">
      <c r="A170" s="1226" t="s">
        <v>330</v>
      </c>
      <c r="B170" s="319"/>
      <c r="C170" s="319"/>
      <c r="D170" s="320"/>
      <c r="E170" s="320"/>
      <c r="F170" s="320"/>
      <c r="G170" s="320"/>
      <c r="H170" s="320"/>
      <c r="I170" s="320"/>
      <c r="J170" s="320"/>
      <c r="K170" s="320"/>
      <c r="L170" s="320"/>
      <c r="M170" s="320"/>
      <c r="N170" s="320"/>
      <c r="O170" s="438"/>
      <c r="P170" s="708"/>
      <c r="Q170" s="1585"/>
      <c r="R170" s="1077"/>
      <c r="S170" s="866"/>
      <c r="T170" s="866"/>
      <c r="U170" s="866"/>
      <c r="V170" s="866"/>
      <c r="W170" s="866"/>
      <c r="X170" s="866"/>
      <c r="Y170" s="866"/>
      <c r="Z170" s="866"/>
      <c r="AA170" s="866"/>
      <c r="AC170" s="230"/>
      <c r="AD170" s="265"/>
      <c r="AE170" s="265"/>
      <c r="AF170" s="230"/>
      <c r="AG170" s="230"/>
      <c r="AH170" s="265"/>
      <c r="AI170" s="265"/>
    </row>
    <row r="171" spans="1:84" ht="23.25" customHeight="1" thickBot="1" x14ac:dyDescent="0.3">
      <c r="A171" s="1226" t="s">
        <v>322</v>
      </c>
      <c r="B171" s="319"/>
      <c r="C171" s="319"/>
      <c r="D171" s="320"/>
      <c r="E171" s="320"/>
      <c r="F171" s="320"/>
      <c r="G171" s="320"/>
      <c r="H171" s="320"/>
      <c r="I171" s="320"/>
      <c r="J171" s="320"/>
      <c r="K171" s="320"/>
      <c r="L171" s="320"/>
      <c r="M171" s="320"/>
      <c r="N171" s="320"/>
      <c r="O171" s="320"/>
      <c r="P171" s="708"/>
      <c r="Q171" s="1585"/>
      <c r="R171" s="1077"/>
      <c r="S171" s="866"/>
      <c r="T171" s="866"/>
      <c r="U171" s="866"/>
      <c r="V171" s="866"/>
      <c r="W171" s="866"/>
      <c r="X171" s="866"/>
      <c r="Y171" s="866"/>
      <c r="Z171" s="866"/>
      <c r="AA171" s="866"/>
      <c r="AC171" s="230"/>
      <c r="AD171" s="265"/>
      <c r="AE171" s="265"/>
      <c r="AF171" s="230"/>
      <c r="AG171" s="230"/>
      <c r="AH171" s="265"/>
      <c r="AI171" s="265"/>
    </row>
    <row r="172" spans="1:84" ht="15" thickTop="1" thickBot="1" x14ac:dyDescent="0.3">
      <c r="A172" s="1226" t="s">
        <v>331</v>
      </c>
      <c r="B172" s="320"/>
      <c r="C172" s="320"/>
      <c r="D172" s="320"/>
      <c r="E172" s="320"/>
      <c r="F172" s="320"/>
      <c r="G172" s="320"/>
      <c r="H172" s="320"/>
      <c r="I172" s="320"/>
      <c r="J172" s="320"/>
      <c r="K172" s="320"/>
      <c r="L172" s="320"/>
      <c r="M172" s="459"/>
      <c r="N172" s="320"/>
      <c r="O172" s="460"/>
      <c r="P172" s="708"/>
      <c r="Q172" s="1585"/>
      <c r="R172" s="1077"/>
      <c r="S172" s="866"/>
      <c r="T172" s="866"/>
      <c r="U172" s="866"/>
      <c r="V172" s="866"/>
      <c r="W172" s="866"/>
      <c r="X172" s="866"/>
      <c r="Y172" s="866"/>
      <c r="Z172" s="866"/>
      <c r="AA172" s="866"/>
      <c r="AC172" s="230"/>
      <c r="AD172" s="265"/>
      <c r="AE172" s="265"/>
      <c r="AF172" s="230"/>
      <c r="AG172" s="230"/>
      <c r="AH172" s="265"/>
      <c r="AI172" s="265"/>
    </row>
    <row r="173" spans="1:84" ht="15.6" thickTop="1" thickBot="1" x14ac:dyDescent="0.35">
      <c r="A173" s="1228" t="s">
        <v>332</v>
      </c>
      <c r="B173" s="319"/>
      <c r="C173" s="319"/>
      <c r="D173" s="320"/>
      <c r="E173" s="320"/>
      <c r="F173" s="320"/>
      <c r="G173" s="319"/>
      <c r="H173" s="319"/>
      <c r="I173" s="319"/>
      <c r="J173" s="319"/>
      <c r="K173" s="319"/>
      <c r="L173" s="320"/>
      <c r="M173" s="459"/>
      <c r="N173" s="320"/>
      <c r="O173" s="460"/>
      <c r="P173" s="708"/>
      <c r="Q173" s="1585"/>
      <c r="R173" s="1077"/>
      <c r="S173" s="866"/>
      <c r="T173" s="866"/>
      <c r="U173" s="866"/>
      <c r="V173" s="866"/>
      <c r="W173" s="866"/>
      <c r="X173" s="866"/>
      <c r="Y173" s="866"/>
      <c r="Z173" s="866"/>
      <c r="AA173" s="866"/>
      <c r="AC173" s="230"/>
      <c r="AD173" s="265"/>
      <c r="AE173" s="265"/>
      <c r="AF173" s="230"/>
      <c r="AG173" s="230"/>
      <c r="AH173" s="265"/>
      <c r="AI173" s="265"/>
    </row>
    <row r="174" spans="1:84" ht="14.4" hidden="1" thickTop="1" x14ac:dyDescent="0.25">
      <c r="A174" s="70"/>
      <c r="B174" s="70"/>
      <c r="C174" s="70"/>
      <c r="D174" s="70"/>
      <c r="E174" s="70"/>
      <c r="F174" s="70"/>
      <c r="G174" s="70"/>
      <c r="H174" s="70"/>
      <c r="I174" s="70"/>
      <c r="J174" s="70"/>
      <c r="K174" s="70"/>
      <c r="L174" s="70"/>
      <c r="M174" s="70"/>
      <c r="N174" s="70"/>
      <c r="O174" s="88"/>
      <c r="P174" s="708"/>
      <c r="Q174" s="1585"/>
      <c r="R174" s="1077"/>
      <c r="S174" s="866"/>
      <c r="T174" s="866"/>
      <c r="U174" s="866"/>
      <c r="V174" s="866"/>
      <c r="W174" s="866"/>
      <c r="X174" s="866"/>
      <c r="Y174" s="866"/>
      <c r="Z174" s="866"/>
      <c r="AA174" s="866"/>
      <c r="AC174" s="230"/>
      <c r="AD174" s="265"/>
      <c r="AE174" s="265"/>
      <c r="AF174" s="230"/>
      <c r="AG174" s="230"/>
      <c r="AH174" s="265"/>
      <c r="AI174" s="265"/>
    </row>
    <row r="175" spans="1:84" ht="14.4" hidden="1" thickTop="1" x14ac:dyDescent="0.25">
      <c r="A175" s="70"/>
      <c r="B175" s="70"/>
      <c r="C175" s="70"/>
      <c r="D175" s="70"/>
      <c r="E175" s="70"/>
      <c r="F175" s="70"/>
      <c r="G175" s="71"/>
      <c r="H175" s="71"/>
      <c r="I175" s="71"/>
      <c r="J175" s="71"/>
      <c r="K175" s="71"/>
      <c r="L175" s="71"/>
      <c r="M175" s="71"/>
      <c r="N175" s="89" t="s">
        <v>71</v>
      </c>
      <c r="O175" s="88">
        <f>SUM(O140:O165)+SUM(O172:O173)</f>
        <v>0</v>
      </c>
      <c r="P175" s="708"/>
      <c r="Q175" s="1585"/>
      <c r="R175" s="1077"/>
      <c r="S175" s="866"/>
      <c r="T175" s="866"/>
      <c r="U175" s="866"/>
      <c r="V175" s="866"/>
      <c r="W175" s="866"/>
      <c r="X175" s="866"/>
      <c r="Y175" s="866"/>
      <c r="Z175" s="866"/>
      <c r="AA175" s="866"/>
      <c r="AC175" s="230"/>
      <c r="AD175" s="265"/>
      <c r="AE175" s="265"/>
      <c r="AF175" s="230"/>
      <c r="AG175" s="230"/>
      <c r="AH175" s="265"/>
      <c r="AI175" s="265"/>
    </row>
    <row r="176" spans="1:84" s="13" customFormat="1" ht="15" thickTop="1" thickBot="1" x14ac:dyDescent="0.3">
      <c r="A176" s="453"/>
      <c r="B176" s="453"/>
      <c r="C176" s="453"/>
      <c r="D176" s="328"/>
      <c r="E176" s="328"/>
      <c r="F176" s="328"/>
      <c r="G176" s="328"/>
      <c r="H176" s="328"/>
      <c r="I176" s="328"/>
      <c r="J176" s="328"/>
      <c r="K176" s="328"/>
      <c r="L176" s="328"/>
      <c r="M176" s="328"/>
      <c r="N176" s="328"/>
      <c r="O176" s="443"/>
      <c r="P176" s="731"/>
      <c r="Q176" s="1602"/>
      <c r="R176" s="1078"/>
      <c r="S176" s="326"/>
      <c r="T176" s="326"/>
      <c r="U176" s="326"/>
      <c r="V176" s="326"/>
      <c r="W176" s="326"/>
      <c r="X176" s="326"/>
      <c r="Y176" s="326"/>
      <c r="Z176" s="326"/>
      <c r="AA176" s="326"/>
      <c r="AC176" s="326"/>
      <c r="AD176" s="510"/>
      <c r="AE176" s="510"/>
      <c r="AF176" s="326"/>
      <c r="AG176" s="326"/>
      <c r="AH176" s="510"/>
      <c r="AI176" s="510"/>
      <c r="AT176" s="326"/>
      <c r="AU176" s="326"/>
      <c r="AV176" s="326"/>
      <c r="AW176" s="326"/>
      <c r="AX176" s="326"/>
      <c r="AY176" s="326"/>
      <c r="AZ176" s="326"/>
      <c r="BA176" s="326"/>
      <c r="BB176" s="326"/>
      <c r="BC176" s="326"/>
      <c r="BD176" s="326"/>
      <c r="BE176" s="326"/>
      <c r="BF176" s="326"/>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row>
    <row r="177" spans="1:84" ht="15" thickTop="1" thickBot="1" x14ac:dyDescent="0.3">
      <c r="A177" s="1226" t="s">
        <v>377</v>
      </c>
      <c r="B177" s="319"/>
      <c r="C177" s="319"/>
      <c r="D177" s="320"/>
      <c r="E177" s="320"/>
      <c r="F177" s="320"/>
      <c r="G177" s="320"/>
      <c r="H177" s="320"/>
      <c r="I177" s="320"/>
      <c r="J177" s="320"/>
      <c r="K177" s="320"/>
      <c r="L177" s="321" t="s">
        <v>59</v>
      </c>
      <c r="M177" s="320"/>
      <c r="N177" s="320"/>
      <c r="O177" s="1094" t="s">
        <v>273</v>
      </c>
      <c r="P177" s="708"/>
      <c r="Q177" s="1585"/>
      <c r="R177" s="1077"/>
      <c r="S177" s="866"/>
      <c r="T177" s="866"/>
      <c r="U177" s="866"/>
      <c r="V177" s="866"/>
      <c r="W177" s="866"/>
      <c r="X177" s="866"/>
      <c r="Y177" s="866"/>
      <c r="Z177" s="866"/>
      <c r="AA177" s="866"/>
      <c r="AC177" s="230"/>
      <c r="AD177" s="265"/>
      <c r="AE177" s="265"/>
      <c r="AF177" s="230"/>
      <c r="AG177" s="230"/>
      <c r="AH177" s="265"/>
      <c r="AI177" s="265"/>
    </row>
    <row r="178" spans="1:84" ht="14.4" thickTop="1" x14ac:dyDescent="0.25">
      <c r="A178" s="1226" t="s">
        <v>336</v>
      </c>
      <c r="B178" s="319"/>
      <c r="C178" s="319"/>
      <c r="D178" s="320"/>
      <c r="E178" s="320"/>
      <c r="F178" s="320"/>
      <c r="G178" s="320"/>
      <c r="H178" s="320"/>
      <c r="I178" s="320"/>
      <c r="J178" s="320"/>
      <c r="K178" s="320"/>
      <c r="L178" s="320"/>
      <c r="M178" s="320"/>
      <c r="N178" s="320"/>
      <c r="O178" s="438"/>
      <c r="P178" s="708"/>
      <c r="Q178" s="1585"/>
      <c r="R178" s="1077"/>
      <c r="S178" s="866"/>
      <c r="T178" s="866"/>
      <c r="U178" s="866"/>
      <c r="V178" s="866"/>
      <c r="W178" s="866"/>
      <c r="X178" s="866"/>
      <c r="Y178" s="866"/>
      <c r="Z178" s="866"/>
      <c r="AA178" s="866"/>
      <c r="AC178" s="230"/>
      <c r="AD178" s="265"/>
      <c r="AE178" s="265"/>
      <c r="AF178" s="230"/>
      <c r="AG178" s="230"/>
      <c r="AH178" s="265"/>
      <c r="AI178" s="265"/>
    </row>
    <row r="179" spans="1:84" x14ac:dyDescent="0.25">
      <c r="A179" s="1232" t="s">
        <v>333</v>
      </c>
      <c r="B179" s="319"/>
      <c r="C179" s="319"/>
      <c r="D179" s="320"/>
      <c r="E179" s="320"/>
      <c r="F179" s="320"/>
      <c r="G179" s="320"/>
      <c r="H179" s="320"/>
      <c r="I179" s="320"/>
      <c r="J179" s="320"/>
      <c r="K179" s="320"/>
      <c r="L179" s="320"/>
      <c r="M179" s="320"/>
      <c r="N179" s="320"/>
      <c r="O179" s="320"/>
      <c r="P179" s="708"/>
      <c r="Q179" s="1585"/>
      <c r="R179" s="1077"/>
      <c r="S179" s="866"/>
      <c r="T179" s="866"/>
      <c r="U179" s="866"/>
      <c r="V179" s="866"/>
      <c r="W179" s="866"/>
      <c r="X179" s="866"/>
      <c r="Y179" s="866"/>
      <c r="Z179" s="866"/>
      <c r="AA179" s="866"/>
      <c r="AC179" s="230"/>
      <c r="AD179" s="265"/>
      <c r="AE179" s="265"/>
      <c r="AF179" s="230"/>
      <c r="AG179" s="230"/>
      <c r="AH179" s="265"/>
      <c r="AI179" s="265"/>
    </row>
    <row r="180" spans="1:84" ht="18" customHeight="1" x14ac:dyDescent="0.25">
      <c r="A180" s="1231" t="s">
        <v>334</v>
      </c>
      <c r="B180" s="319"/>
      <c r="C180" s="319"/>
      <c r="D180" s="320"/>
      <c r="E180" s="320"/>
      <c r="F180" s="320"/>
      <c r="G180" s="320"/>
      <c r="H180" s="320"/>
      <c r="I180" s="320"/>
      <c r="J180" s="320"/>
      <c r="K180" s="320"/>
      <c r="L180" s="320"/>
      <c r="M180" s="320"/>
      <c r="N180" s="320"/>
      <c r="O180" s="320"/>
      <c r="P180" s="708"/>
      <c r="Q180" s="1585"/>
      <c r="R180" s="1077"/>
      <c r="S180" s="866"/>
      <c r="T180" s="866"/>
      <c r="U180" s="866"/>
      <c r="V180" s="866"/>
      <c r="W180" s="866"/>
      <c r="X180" s="866"/>
      <c r="Y180" s="866"/>
      <c r="Z180" s="866"/>
      <c r="AA180" s="866"/>
      <c r="AC180" s="230"/>
      <c r="AD180" s="265"/>
      <c r="AE180" s="265"/>
      <c r="AF180" s="230"/>
      <c r="AG180" s="230"/>
      <c r="AH180" s="265"/>
      <c r="AI180" s="265"/>
    </row>
    <row r="181" spans="1:84" ht="18" customHeight="1" x14ac:dyDescent="0.25">
      <c r="A181" s="1233" t="s">
        <v>335</v>
      </c>
      <c r="B181" s="319"/>
      <c r="C181" s="319"/>
      <c r="D181" s="320"/>
      <c r="E181" s="320"/>
      <c r="F181" s="320"/>
      <c r="G181" s="320"/>
      <c r="H181" s="320"/>
      <c r="I181" s="320"/>
      <c r="J181" s="320"/>
      <c r="K181" s="320"/>
      <c r="L181" s="320"/>
      <c r="M181" s="320"/>
      <c r="N181" s="320"/>
      <c r="O181" s="320"/>
      <c r="P181" s="708"/>
      <c r="Q181" s="1585"/>
      <c r="R181" s="1077"/>
      <c r="S181" s="866"/>
      <c r="T181" s="866"/>
      <c r="U181" s="866"/>
      <c r="V181" s="866"/>
      <c r="W181" s="866"/>
      <c r="X181" s="866"/>
      <c r="Y181" s="866"/>
      <c r="Z181" s="866"/>
      <c r="AA181" s="866"/>
      <c r="AC181" s="230"/>
      <c r="AD181" s="265"/>
      <c r="AE181" s="265"/>
      <c r="AF181" s="230"/>
      <c r="AG181" s="230"/>
      <c r="AH181" s="265"/>
      <c r="AI181" s="265"/>
    </row>
    <row r="182" spans="1:84" ht="17.25" customHeight="1" thickBot="1" x14ac:dyDescent="0.3">
      <c r="A182" s="453"/>
      <c r="B182" s="453"/>
      <c r="C182" s="453"/>
      <c r="D182" s="328"/>
      <c r="E182" s="328"/>
      <c r="F182" s="328"/>
      <c r="G182" s="328"/>
      <c r="H182" s="328"/>
      <c r="I182" s="328"/>
      <c r="J182" s="328"/>
      <c r="K182" s="328"/>
      <c r="L182" s="328"/>
      <c r="M182" s="328"/>
      <c r="N182" s="328"/>
      <c r="O182" s="443"/>
      <c r="P182" s="708"/>
      <c r="Q182" s="1585"/>
      <c r="R182" s="1077"/>
      <c r="S182" s="866"/>
      <c r="T182" s="866"/>
      <c r="U182" s="866"/>
      <c r="V182" s="866"/>
      <c r="W182" s="866"/>
      <c r="X182" s="866"/>
      <c r="Y182" s="866"/>
      <c r="Z182" s="866"/>
      <c r="AA182" s="866"/>
      <c r="AC182" s="230"/>
      <c r="AD182" s="265"/>
      <c r="AE182" s="265"/>
      <c r="AF182" s="230"/>
      <c r="AG182" s="230"/>
      <c r="AH182" s="265"/>
      <c r="AI182" s="265"/>
    </row>
    <row r="183" spans="1:84" ht="15" thickTop="1" thickBot="1" x14ac:dyDescent="0.3">
      <c r="A183" s="1226" t="s">
        <v>378</v>
      </c>
      <c r="B183" s="319"/>
      <c r="C183" s="319"/>
      <c r="D183" s="320"/>
      <c r="E183" s="320"/>
      <c r="F183" s="320"/>
      <c r="G183" s="459"/>
      <c r="H183" s="459"/>
      <c r="I183" s="459"/>
      <c r="J183" s="459"/>
      <c r="K183" s="459"/>
      <c r="L183" s="321" t="s">
        <v>60</v>
      </c>
      <c r="M183" s="320"/>
      <c r="N183" s="320"/>
      <c r="O183" s="1094" t="s">
        <v>274</v>
      </c>
      <c r="P183" s="708"/>
      <c r="Q183" s="1585"/>
      <c r="R183" s="1077"/>
      <c r="S183" s="866"/>
      <c r="T183" s="866"/>
      <c r="U183" s="866"/>
      <c r="V183" s="866"/>
      <c r="W183" s="866"/>
      <c r="X183" s="866"/>
      <c r="Y183" s="866"/>
      <c r="Z183" s="866"/>
      <c r="AA183" s="866"/>
      <c r="AC183" s="230"/>
      <c r="AD183" s="265"/>
      <c r="AE183" s="265"/>
      <c r="AF183" s="230"/>
      <c r="AG183" s="230"/>
      <c r="AH183" s="265"/>
      <c r="AI183" s="265"/>
    </row>
    <row r="184" spans="1:84" ht="14.4" thickTop="1" x14ac:dyDescent="0.25">
      <c r="A184" s="1234" t="s">
        <v>206</v>
      </c>
      <c r="B184" s="464"/>
      <c r="C184" s="464"/>
      <c r="D184" s="459"/>
      <c r="E184" s="459"/>
      <c r="F184" s="459"/>
      <c r="G184" s="459"/>
      <c r="H184" s="459"/>
      <c r="I184" s="459"/>
      <c r="J184" s="459"/>
      <c r="K184" s="459"/>
      <c r="L184" s="459"/>
      <c r="M184" s="459"/>
      <c r="N184" s="459"/>
      <c r="O184" s="311"/>
      <c r="P184" s="731"/>
      <c r="Q184" s="1602"/>
      <c r="R184" s="1078"/>
      <c r="S184" s="326"/>
      <c r="T184" s="326"/>
      <c r="U184" s="326"/>
      <c r="V184" s="326"/>
      <c r="W184" s="326"/>
      <c r="X184" s="326"/>
      <c r="Y184" s="866"/>
      <c r="Z184" s="866"/>
      <c r="AA184" s="866"/>
      <c r="AC184" s="230"/>
      <c r="AD184" s="265"/>
      <c r="AE184" s="265"/>
      <c r="AF184" s="230"/>
      <c r="AG184" s="230"/>
      <c r="AH184" s="265"/>
      <c r="AI184" s="265"/>
    </row>
    <row r="185" spans="1:84" s="15" customFormat="1" ht="14.4" thickBot="1" x14ac:dyDescent="0.3">
      <c r="A185" s="1150"/>
      <c r="B185" s="628"/>
      <c r="C185" s="628"/>
      <c r="D185" s="1156"/>
      <c r="E185" s="1156"/>
      <c r="F185" s="1156"/>
      <c r="G185" s="1156"/>
      <c r="H185" s="1156"/>
      <c r="I185" s="1156"/>
      <c r="J185" s="1156"/>
      <c r="K185" s="1156"/>
      <c r="L185" s="1156"/>
      <c r="M185" s="1156"/>
      <c r="N185" s="1156"/>
      <c r="O185" s="1320"/>
      <c r="P185" s="731"/>
      <c r="Q185" s="1602"/>
      <c r="R185" s="1078"/>
      <c r="S185" s="326"/>
      <c r="T185" s="326"/>
      <c r="U185" s="326"/>
      <c r="V185" s="326"/>
      <c r="W185" s="326"/>
      <c r="X185" s="326"/>
      <c r="Y185" s="328"/>
      <c r="Z185" s="328"/>
      <c r="AA185" s="328"/>
      <c r="AC185" s="328"/>
      <c r="AD185" s="512"/>
      <c r="AE185" s="512"/>
      <c r="AF185" s="328"/>
      <c r="AG185" s="328"/>
      <c r="AH185" s="512"/>
      <c r="AI185" s="512"/>
      <c r="AT185" s="328"/>
      <c r="AU185" s="328"/>
      <c r="AV185" s="328"/>
      <c r="AW185" s="328"/>
      <c r="AX185" s="328"/>
      <c r="AY185" s="328"/>
      <c r="AZ185" s="328"/>
      <c r="BA185" s="328"/>
      <c r="BB185" s="328"/>
      <c r="BC185" s="328"/>
      <c r="BD185" s="328"/>
      <c r="BE185" s="328"/>
      <c r="BF185" s="328"/>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row>
    <row r="186" spans="1:84" ht="16.5" customHeight="1" thickTop="1" thickBot="1" x14ac:dyDescent="0.3">
      <c r="A186" s="1093" t="s">
        <v>563</v>
      </c>
      <c r="B186" s="438"/>
      <c r="C186" s="438"/>
      <c r="D186" s="438"/>
      <c r="E186" s="438"/>
      <c r="F186" s="438"/>
      <c r="G186" s="438"/>
      <c r="H186" s="438"/>
      <c r="I186" s="438"/>
      <c r="J186" s="438"/>
      <c r="K186" s="438"/>
      <c r="L186" s="439"/>
      <c r="M186" s="321" t="s">
        <v>60</v>
      </c>
      <c r="N186" s="438"/>
      <c r="O186" s="311" t="s">
        <v>559</v>
      </c>
      <c r="P186" s="708"/>
      <c r="Q186" s="1585"/>
      <c r="R186" s="1077"/>
      <c r="S186" s="866"/>
      <c r="T186" s="866"/>
      <c r="U186" s="866"/>
      <c r="V186" s="866"/>
      <c r="W186" s="866"/>
      <c r="X186" s="866"/>
      <c r="Y186" s="866"/>
      <c r="Z186" s="866"/>
      <c r="AA186" s="866"/>
      <c r="AC186" s="230"/>
      <c r="AD186" s="265"/>
      <c r="AE186" s="265"/>
      <c r="AF186" s="230"/>
      <c r="AG186" s="230"/>
      <c r="AH186" s="265"/>
      <c r="AI186" s="265"/>
    </row>
    <row r="187" spans="1:84" ht="14.4" thickTop="1" x14ac:dyDescent="0.25">
      <c r="A187" s="1093" t="s">
        <v>592</v>
      </c>
      <c r="B187" s="438"/>
      <c r="C187" s="438"/>
      <c r="D187" s="438"/>
      <c r="E187" s="438"/>
      <c r="F187" s="438"/>
      <c r="G187" s="438"/>
      <c r="H187" s="438"/>
      <c r="I187" s="438"/>
      <c r="J187" s="438"/>
      <c r="K187" s="438"/>
      <c r="L187" s="439"/>
      <c r="M187" s="438"/>
      <c r="N187" s="438"/>
      <c r="O187" s="320"/>
      <c r="P187" s="708"/>
      <c r="Q187" s="1585"/>
      <c r="R187" s="1077"/>
      <c r="S187" s="866"/>
      <c r="T187" s="866"/>
      <c r="U187" s="866"/>
      <c r="V187" s="866"/>
      <c r="W187" s="866"/>
      <c r="X187" s="866"/>
      <c r="Y187" s="866"/>
      <c r="Z187" s="866"/>
      <c r="AA187" s="866"/>
      <c r="AC187" s="230"/>
      <c r="AD187" s="265"/>
      <c r="AE187" s="265"/>
      <c r="AF187" s="230"/>
      <c r="AG187" s="230"/>
      <c r="AH187" s="265"/>
      <c r="AI187" s="265"/>
    </row>
    <row r="188" spans="1:84" s="867" customFormat="1" ht="15" customHeight="1" x14ac:dyDescent="0.25">
      <c r="A188" s="1093" t="s">
        <v>593</v>
      </c>
      <c r="B188" s="438"/>
      <c r="C188" s="438"/>
      <c r="D188" s="438"/>
      <c r="E188" s="438"/>
      <c r="F188" s="438"/>
      <c r="G188" s="438"/>
      <c r="H188" s="438"/>
      <c r="I188" s="438"/>
      <c r="J188" s="438"/>
      <c r="K188" s="438"/>
      <c r="L188" s="439"/>
      <c r="M188" s="438"/>
      <c r="N188" s="438"/>
      <c r="O188" s="320"/>
      <c r="P188" s="708"/>
      <c r="Q188" s="1585"/>
      <c r="R188" s="1077"/>
      <c r="S188" s="866"/>
      <c r="T188" s="866"/>
      <c r="U188" s="866"/>
      <c r="V188" s="866"/>
      <c r="W188" s="866"/>
      <c r="X188" s="866"/>
      <c r="Y188" s="866"/>
      <c r="Z188" s="866"/>
      <c r="AA188" s="866"/>
      <c r="AC188" s="866"/>
      <c r="AD188" s="868"/>
      <c r="AE188" s="868"/>
      <c r="AF188" s="866"/>
      <c r="AG188" s="866"/>
      <c r="AH188" s="868"/>
      <c r="AI188" s="868"/>
      <c r="AT188" s="866"/>
      <c r="AU188" s="866"/>
      <c r="AV188" s="866"/>
      <c r="AW188" s="866"/>
      <c r="AX188" s="866"/>
      <c r="AY188" s="866"/>
      <c r="AZ188" s="866"/>
      <c r="BA188" s="866"/>
      <c r="BB188" s="866"/>
      <c r="BC188" s="866"/>
      <c r="BD188" s="866"/>
      <c r="BE188" s="866"/>
      <c r="BF188" s="866"/>
      <c r="BG188" s="869"/>
      <c r="BH188" s="869"/>
      <c r="BI188" s="869"/>
      <c r="BJ188" s="869"/>
      <c r="BK188" s="869"/>
      <c r="BL188" s="869"/>
      <c r="BM188" s="869"/>
      <c r="BN188" s="869"/>
      <c r="BO188" s="869"/>
      <c r="BP188" s="869"/>
      <c r="BQ188" s="869"/>
      <c r="BR188" s="869"/>
      <c r="BS188" s="869"/>
      <c r="BT188" s="869"/>
      <c r="BU188" s="869"/>
      <c r="BV188" s="869"/>
      <c r="BW188" s="869"/>
      <c r="BX188" s="869"/>
      <c r="BY188" s="869"/>
      <c r="BZ188" s="869"/>
      <c r="CA188" s="869"/>
      <c r="CB188" s="869"/>
      <c r="CC188" s="869"/>
      <c r="CD188" s="869"/>
      <c r="CE188" s="869"/>
      <c r="CF188" s="869"/>
    </row>
    <row r="189" spans="1:84" ht="16.5" customHeight="1" x14ac:dyDescent="0.25">
      <c r="A189" s="1093" t="s">
        <v>591</v>
      </c>
      <c r="B189" s="438"/>
      <c r="C189" s="438"/>
      <c r="D189" s="438"/>
      <c r="E189" s="438"/>
      <c r="F189" s="438"/>
      <c r="G189" s="438"/>
      <c r="H189" s="438"/>
      <c r="I189" s="438"/>
      <c r="J189" s="438"/>
      <c r="K189" s="438"/>
      <c r="L189" s="439"/>
      <c r="M189" s="438"/>
      <c r="N189" s="438"/>
      <c r="O189" s="320"/>
      <c r="P189" s="708"/>
      <c r="Q189" s="1585"/>
      <c r="R189" s="1077"/>
      <c r="S189" s="866"/>
      <c r="T189" s="866"/>
      <c r="U189" s="866"/>
      <c r="V189" s="866"/>
      <c r="W189" s="866"/>
      <c r="X189" s="866"/>
      <c r="Y189" s="866"/>
      <c r="Z189" s="866"/>
      <c r="AA189" s="866"/>
      <c r="AC189" s="230"/>
      <c r="AD189" s="265"/>
      <c r="AE189" s="265"/>
      <c r="AF189" s="230"/>
      <c r="AG189" s="230"/>
      <c r="AH189" s="265"/>
      <c r="AI189" s="265"/>
    </row>
    <row r="190" spans="1:84" s="867" customFormat="1" ht="16.5" customHeight="1" x14ac:dyDescent="0.25">
      <c r="A190" s="1093" t="s">
        <v>561</v>
      </c>
      <c r="B190" s="438"/>
      <c r="C190" s="438"/>
      <c r="D190" s="438"/>
      <c r="E190" s="438"/>
      <c r="F190" s="438"/>
      <c r="G190" s="438"/>
      <c r="H190" s="438"/>
      <c r="I190" s="438"/>
      <c r="J190" s="438"/>
      <c r="K190" s="438"/>
      <c r="L190" s="439"/>
      <c r="M190" s="438"/>
      <c r="N190" s="438"/>
      <c r="O190" s="320"/>
      <c r="P190" s="708"/>
      <c r="Q190" s="1585"/>
      <c r="R190" s="1077"/>
      <c r="S190" s="866"/>
      <c r="T190" s="866"/>
      <c r="U190" s="866"/>
      <c r="V190" s="866"/>
      <c r="W190" s="866"/>
      <c r="X190" s="866"/>
      <c r="Y190" s="866"/>
      <c r="Z190" s="866"/>
      <c r="AA190" s="866"/>
      <c r="AC190" s="866"/>
      <c r="AD190" s="868"/>
      <c r="AE190" s="868"/>
      <c r="AF190" s="866"/>
      <c r="AG190" s="866"/>
      <c r="AH190" s="868"/>
      <c r="AI190" s="868"/>
      <c r="AT190" s="866"/>
      <c r="AU190" s="866"/>
      <c r="AV190" s="866"/>
      <c r="AW190" s="866"/>
      <c r="AX190" s="866"/>
      <c r="AY190" s="866"/>
      <c r="AZ190" s="866"/>
      <c r="BA190" s="866"/>
      <c r="BB190" s="866"/>
      <c r="BC190" s="866"/>
      <c r="BD190" s="866"/>
      <c r="BE190" s="866"/>
      <c r="BF190" s="866"/>
      <c r="BG190" s="869"/>
      <c r="BH190" s="869"/>
      <c r="BI190" s="869"/>
      <c r="BJ190" s="869"/>
      <c r="BK190" s="869"/>
      <c r="BL190" s="869"/>
      <c r="BM190" s="869"/>
      <c r="BN190" s="869"/>
      <c r="BO190" s="869"/>
      <c r="BP190" s="869"/>
      <c r="BQ190" s="869"/>
      <c r="BR190" s="869"/>
      <c r="BS190" s="869"/>
      <c r="BT190" s="869"/>
      <c r="BU190" s="869"/>
      <c r="BV190" s="869"/>
      <c r="BW190" s="869"/>
      <c r="BX190" s="869"/>
      <c r="BY190" s="869"/>
      <c r="BZ190" s="869"/>
      <c r="CA190" s="869"/>
      <c r="CB190" s="869"/>
      <c r="CC190" s="869"/>
      <c r="CD190" s="869"/>
      <c r="CE190" s="869"/>
      <c r="CF190" s="869"/>
    </row>
    <row r="191" spans="1:84" hidden="1" x14ac:dyDescent="0.25">
      <c r="A191" s="322" t="s">
        <v>446</v>
      </c>
      <c r="B191" s="323"/>
      <c r="C191" s="323"/>
      <c r="D191" s="323"/>
      <c r="E191" s="323"/>
      <c r="F191" s="323"/>
      <c r="G191" s="323"/>
      <c r="H191" s="323"/>
      <c r="I191" s="323"/>
      <c r="J191" s="323"/>
      <c r="K191" s="323"/>
      <c r="L191" s="323"/>
      <c r="M191" s="322"/>
      <c r="N191" s="320"/>
      <c r="O191" s="320"/>
      <c r="P191" s="708"/>
      <c r="Q191" s="1585"/>
      <c r="R191" s="1077"/>
      <c r="S191" s="866"/>
      <c r="T191" s="866"/>
      <c r="U191" s="866"/>
      <c r="V191" s="866"/>
      <c r="W191" s="866"/>
      <c r="X191" s="866"/>
      <c r="Y191" s="866"/>
      <c r="Z191" s="866"/>
      <c r="AA191" s="866"/>
      <c r="AC191" s="230"/>
      <c r="AD191" s="265"/>
      <c r="AE191" s="265"/>
      <c r="AF191" s="230"/>
      <c r="AG191" s="230"/>
      <c r="AH191" s="265"/>
      <c r="AI191" s="265"/>
    </row>
    <row r="192" spans="1:84" hidden="1" x14ac:dyDescent="0.25">
      <c r="A192" s="68"/>
      <c r="B192" s="68"/>
      <c r="C192" s="68"/>
      <c r="D192" s="68"/>
      <c r="E192" s="68"/>
      <c r="F192" s="68"/>
      <c r="G192" s="68"/>
      <c r="H192" s="68"/>
      <c r="I192" s="68"/>
      <c r="J192" s="68"/>
      <c r="K192" s="68"/>
      <c r="L192" s="68"/>
      <c r="M192" s="68"/>
      <c r="N192" s="130" t="s">
        <v>198</v>
      </c>
      <c r="O192" s="68"/>
      <c r="P192" s="708"/>
      <c r="Q192" s="1585"/>
      <c r="R192" s="1077"/>
      <c r="S192" s="866"/>
      <c r="T192" s="866"/>
      <c r="U192" s="866"/>
      <c r="V192" s="866"/>
      <c r="W192" s="866"/>
      <c r="X192" s="866"/>
      <c r="Y192" s="866"/>
      <c r="Z192" s="866"/>
      <c r="AA192" s="866"/>
      <c r="AC192" s="230"/>
      <c r="AD192" s="265"/>
      <c r="AE192" s="265"/>
      <c r="AF192" s="230"/>
      <c r="AG192" s="230"/>
      <c r="AH192" s="265"/>
      <c r="AI192" s="265"/>
    </row>
    <row r="193" spans="1:35" hidden="1" x14ac:dyDescent="0.25">
      <c r="A193" s="68"/>
      <c r="B193" s="68"/>
      <c r="C193" s="68"/>
      <c r="D193" s="68"/>
      <c r="E193" s="68"/>
      <c r="F193" s="68"/>
      <c r="G193" s="68"/>
      <c r="H193" s="68"/>
      <c r="I193" s="68"/>
      <c r="J193" s="68"/>
      <c r="K193" s="68"/>
      <c r="L193" s="68"/>
      <c r="M193" s="68"/>
      <c r="N193" s="131">
        <v>0.69499999999999995</v>
      </c>
      <c r="O193" s="68"/>
      <c r="P193" s="708"/>
      <c r="Q193" s="1585"/>
      <c r="R193" s="1077"/>
      <c r="S193" s="866"/>
      <c r="T193" s="866"/>
      <c r="U193" s="866"/>
      <c r="V193" s="866"/>
      <c r="W193" s="866"/>
      <c r="X193" s="866"/>
      <c r="Y193" s="866"/>
      <c r="Z193" s="866"/>
      <c r="AA193" s="866"/>
      <c r="AC193" s="230"/>
      <c r="AD193" s="265"/>
      <c r="AE193" s="265"/>
      <c r="AF193" s="230"/>
      <c r="AG193" s="230"/>
      <c r="AH193" s="265"/>
      <c r="AI193" s="265"/>
    </row>
    <row r="194" spans="1:35" hidden="1" x14ac:dyDescent="0.25">
      <c r="A194" s="68"/>
      <c r="B194" s="68"/>
      <c r="C194" s="68"/>
      <c r="D194" s="68"/>
      <c r="E194" s="68"/>
      <c r="F194" s="68"/>
      <c r="G194" s="68"/>
      <c r="H194" s="68"/>
      <c r="I194" s="68"/>
      <c r="J194" s="68"/>
      <c r="K194" s="68"/>
      <c r="L194" s="68"/>
      <c r="M194" s="68"/>
      <c r="N194" s="131">
        <v>0.34</v>
      </c>
      <c r="O194" s="68"/>
      <c r="P194" s="708"/>
      <c r="Q194" s="1585"/>
      <c r="R194" s="1077"/>
      <c r="S194" s="866"/>
      <c r="T194" s="866"/>
      <c r="U194" s="866"/>
      <c r="V194" s="866"/>
      <c r="W194" s="866"/>
      <c r="X194" s="866"/>
      <c r="Y194" s="866"/>
      <c r="Z194" s="866"/>
      <c r="AA194" s="866"/>
      <c r="AC194" s="230"/>
      <c r="AD194" s="265"/>
      <c r="AE194" s="265"/>
      <c r="AF194" s="230"/>
      <c r="AG194" s="230"/>
      <c r="AH194" s="265"/>
      <c r="AI194" s="265"/>
    </row>
    <row r="195" spans="1:35" hidden="1" x14ac:dyDescent="0.25">
      <c r="A195" s="68"/>
      <c r="B195" s="68"/>
      <c r="C195" s="68"/>
      <c r="D195" s="68"/>
      <c r="E195" s="68"/>
      <c r="F195" s="68"/>
      <c r="G195" s="68"/>
      <c r="H195" s="68"/>
      <c r="I195" s="68"/>
      <c r="J195" s="68"/>
      <c r="K195" s="68"/>
      <c r="L195" s="68"/>
      <c r="M195" s="68"/>
      <c r="N195" s="131">
        <v>0.41</v>
      </c>
      <c r="O195" s="68"/>
      <c r="P195" s="708"/>
      <c r="Q195" s="1585"/>
      <c r="R195" s="1077"/>
      <c r="S195" s="866"/>
      <c r="T195" s="866"/>
      <c r="U195" s="866"/>
      <c r="V195" s="866"/>
      <c r="W195" s="866"/>
      <c r="X195" s="866"/>
      <c r="Y195" s="866"/>
      <c r="Z195" s="866"/>
      <c r="AA195" s="866"/>
      <c r="AC195" s="230"/>
      <c r="AD195" s="265"/>
      <c r="AE195" s="265"/>
      <c r="AF195" s="230"/>
      <c r="AG195" s="230"/>
      <c r="AH195" s="265"/>
      <c r="AI195" s="265"/>
    </row>
    <row r="196" spans="1:35" ht="18.899999999999999" hidden="1" customHeight="1" thickTop="1" thickBot="1" x14ac:dyDescent="0.3">
      <c r="A196" s="323"/>
      <c r="B196" s="323"/>
      <c r="C196" s="323"/>
      <c r="D196" s="323"/>
      <c r="E196" s="323"/>
      <c r="F196" s="323"/>
      <c r="G196" s="323"/>
      <c r="H196" s="323"/>
      <c r="I196" s="323"/>
      <c r="J196" s="323"/>
      <c r="K196" s="323"/>
      <c r="L196" s="323"/>
      <c r="M196" s="467" t="s">
        <v>203</v>
      </c>
      <c r="N196" s="468"/>
      <c r="O196" s="320"/>
      <c r="P196" s="708"/>
      <c r="Q196" s="1585"/>
      <c r="R196" s="1077"/>
      <c r="S196" s="866"/>
      <c r="T196" s="866"/>
      <c r="U196" s="866"/>
      <c r="V196" s="866"/>
      <c r="W196" s="866"/>
      <c r="X196" s="866"/>
      <c r="Y196" s="866"/>
      <c r="Z196" s="866"/>
      <c r="AA196" s="866"/>
      <c r="AC196" s="230"/>
      <c r="AD196" s="265"/>
      <c r="AE196" s="265"/>
      <c r="AF196" s="230"/>
      <c r="AG196" s="230"/>
      <c r="AH196" s="265"/>
      <c r="AI196" s="265"/>
    </row>
    <row r="197" spans="1:35" hidden="1" x14ac:dyDescent="0.25">
      <c r="A197" s="68"/>
      <c r="B197" s="68"/>
      <c r="C197" s="68"/>
      <c r="D197" s="68"/>
      <c r="E197" s="68"/>
      <c r="F197" s="68"/>
      <c r="G197" s="68"/>
      <c r="H197" s="68"/>
      <c r="I197" s="68"/>
      <c r="J197" s="68"/>
      <c r="K197" s="68"/>
      <c r="L197" s="68"/>
      <c r="M197" s="68"/>
      <c r="N197" s="130" t="s">
        <v>205</v>
      </c>
      <c r="O197" s="68"/>
      <c r="P197" s="708"/>
      <c r="Q197" s="1585"/>
      <c r="R197" s="1077"/>
      <c r="S197" s="866"/>
      <c r="T197" s="866"/>
      <c r="U197" s="866"/>
      <c r="V197" s="866"/>
      <c r="W197" s="866"/>
      <c r="X197" s="866"/>
      <c r="Y197" s="866"/>
      <c r="Z197" s="866"/>
      <c r="AA197" s="866"/>
      <c r="AC197" s="230"/>
      <c r="AD197" s="265"/>
      <c r="AE197" s="265"/>
      <c r="AF197" s="230"/>
      <c r="AG197" s="230"/>
      <c r="AH197" s="265"/>
      <c r="AI197" s="265"/>
    </row>
    <row r="198" spans="1:35" hidden="1" x14ac:dyDescent="0.25">
      <c r="A198" s="68"/>
      <c r="B198" s="68"/>
      <c r="C198" s="68"/>
      <c r="D198" s="68"/>
      <c r="E198" s="68"/>
      <c r="F198" s="68"/>
      <c r="G198" s="68"/>
      <c r="H198" s="68"/>
      <c r="I198" s="68"/>
      <c r="J198" s="68"/>
      <c r="K198" s="68"/>
      <c r="L198" s="68"/>
      <c r="M198" s="68"/>
      <c r="N198" s="131">
        <v>0.26</v>
      </c>
      <c r="O198" s="68"/>
      <c r="P198" s="708"/>
      <c r="Q198" s="1585"/>
      <c r="R198" s="1077"/>
      <c r="S198" s="866"/>
      <c r="T198" s="866"/>
      <c r="U198" s="866"/>
      <c r="V198" s="866"/>
      <c r="W198" s="866"/>
      <c r="X198" s="866"/>
      <c r="Y198" s="866"/>
      <c r="Z198" s="866"/>
      <c r="AA198" s="866"/>
      <c r="AC198" s="230"/>
      <c r="AD198" s="265"/>
      <c r="AE198" s="265"/>
      <c r="AF198" s="230"/>
      <c r="AG198" s="230"/>
      <c r="AH198" s="265"/>
      <c r="AI198" s="265"/>
    </row>
    <row r="199" spans="1:35" hidden="1" x14ac:dyDescent="0.25">
      <c r="A199" s="68"/>
      <c r="B199" s="68"/>
      <c r="C199" s="68"/>
      <c r="D199" s="68"/>
      <c r="E199" s="68"/>
      <c r="F199" s="68"/>
      <c r="G199" s="68"/>
      <c r="H199" s="68"/>
      <c r="I199" s="68"/>
      <c r="J199" s="68"/>
      <c r="K199" s="68"/>
      <c r="L199" s="68"/>
      <c r="M199" s="68"/>
      <c r="N199" s="131">
        <v>0.34</v>
      </c>
      <c r="O199" s="68"/>
      <c r="P199" s="708"/>
      <c r="Q199" s="1585"/>
      <c r="R199" s="1077"/>
      <c r="S199" s="866"/>
      <c r="T199" s="866"/>
      <c r="U199" s="866"/>
      <c r="V199" s="866"/>
      <c r="W199" s="866"/>
      <c r="X199" s="866"/>
      <c r="Y199" s="866"/>
      <c r="Z199" s="866"/>
      <c r="AA199" s="866"/>
      <c r="AC199" s="230"/>
      <c r="AD199" s="265"/>
      <c r="AE199" s="265"/>
      <c r="AF199" s="230"/>
      <c r="AG199" s="230"/>
      <c r="AH199" s="265"/>
      <c r="AI199" s="265"/>
    </row>
    <row r="200" spans="1:35" hidden="1" x14ac:dyDescent="0.25">
      <c r="A200" s="68"/>
      <c r="B200" s="68"/>
      <c r="C200" s="68"/>
      <c r="D200" s="68"/>
      <c r="E200" s="68"/>
      <c r="F200" s="68"/>
      <c r="G200" s="68"/>
      <c r="H200" s="68"/>
      <c r="I200" s="68"/>
      <c r="J200" s="68"/>
      <c r="K200" s="68"/>
      <c r="L200" s="68"/>
      <c r="M200" s="68"/>
      <c r="N200" s="131">
        <v>0.41</v>
      </c>
      <c r="O200" s="68"/>
      <c r="P200" s="708"/>
      <c r="Q200" s="1585"/>
      <c r="R200" s="1077"/>
      <c r="S200" s="866"/>
      <c r="T200" s="866"/>
      <c r="U200" s="866"/>
      <c r="V200" s="866"/>
      <c r="W200" s="866"/>
      <c r="X200" s="866"/>
      <c r="Y200" s="866"/>
      <c r="Z200" s="866"/>
      <c r="AA200" s="866"/>
      <c r="AC200" s="230"/>
      <c r="AD200" s="265"/>
      <c r="AE200" s="265"/>
      <c r="AF200" s="230"/>
      <c r="AG200" s="230"/>
      <c r="AH200" s="265"/>
      <c r="AI200" s="265"/>
    </row>
    <row r="201" spans="1:35" ht="20.25" hidden="1" customHeight="1" thickTop="1" thickBot="1" x14ac:dyDescent="0.3">
      <c r="A201" s="323"/>
      <c r="B201" s="323"/>
      <c r="C201" s="323"/>
      <c r="D201" s="323"/>
      <c r="E201" s="323"/>
      <c r="F201" s="323"/>
      <c r="G201" s="323"/>
      <c r="H201" s="323"/>
      <c r="I201" s="323"/>
      <c r="J201" s="323"/>
      <c r="K201" s="323"/>
      <c r="L201" s="323"/>
      <c r="M201" s="467" t="s">
        <v>204</v>
      </c>
      <c r="N201" s="324"/>
      <c r="O201" s="320"/>
      <c r="P201" s="708"/>
      <c r="Q201" s="1585"/>
      <c r="R201" s="1077"/>
      <c r="S201" s="866"/>
      <c r="T201" s="866"/>
      <c r="U201" s="866"/>
      <c r="V201" s="866"/>
      <c r="W201" s="866"/>
      <c r="X201" s="866"/>
      <c r="Y201" s="866"/>
      <c r="Z201" s="866"/>
      <c r="AA201" s="866"/>
      <c r="AC201" s="230"/>
      <c r="AD201" s="265"/>
      <c r="AE201" s="265"/>
      <c r="AF201" s="230"/>
      <c r="AG201" s="230"/>
      <c r="AH201" s="265"/>
      <c r="AI201" s="265"/>
    </row>
    <row r="202" spans="1:35" hidden="1" x14ac:dyDescent="0.25">
      <c r="A202" s="319" t="s">
        <v>207</v>
      </c>
      <c r="B202" s="320"/>
      <c r="C202" s="320"/>
      <c r="D202" s="320"/>
      <c r="E202" s="320"/>
      <c r="F202" s="320"/>
      <c r="G202" s="320"/>
      <c r="H202" s="320"/>
      <c r="I202" s="320"/>
      <c r="J202" s="320"/>
      <c r="K202" s="320"/>
      <c r="L202" s="320"/>
      <c r="M202" s="320"/>
      <c r="N202" s="320"/>
      <c r="O202" s="320"/>
      <c r="P202" s="708"/>
      <c r="Q202" s="1585"/>
      <c r="R202" s="1077"/>
      <c r="S202" s="866"/>
      <c r="T202" s="866"/>
      <c r="U202" s="866"/>
      <c r="V202" s="866"/>
      <c r="W202" s="866"/>
      <c r="X202" s="866"/>
      <c r="Y202" s="866"/>
      <c r="Z202" s="866"/>
      <c r="AA202" s="866"/>
      <c r="AC202" s="230"/>
      <c r="AD202" s="265"/>
      <c r="AE202" s="265"/>
      <c r="AF202" s="230"/>
      <c r="AG202" s="230"/>
      <c r="AH202" s="265"/>
      <c r="AI202" s="265"/>
    </row>
    <row r="203" spans="1:35" hidden="1" x14ac:dyDescent="0.25">
      <c r="A203" s="319" t="s">
        <v>221</v>
      </c>
      <c r="B203" s="320"/>
      <c r="C203" s="320"/>
      <c r="D203" s="320"/>
      <c r="E203" s="320"/>
      <c r="F203" s="320"/>
      <c r="G203" s="320"/>
      <c r="H203" s="320"/>
      <c r="I203" s="320"/>
      <c r="J203" s="320"/>
      <c r="K203" s="320"/>
      <c r="L203" s="320"/>
      <c r="M203" s="320"/>
      <c r="N203" s="320"/>
      <c r="O203" s="320"/>
      <c r="P203" s="708"/>
      <c r="Q203" s="1585"/>
      <c r="R203" s="1077"/>
      <c r="S203" s="866"/>
      <c r="T203" s="866"/>
      <c r="U203" s="866"/>
      <c r="V203" s="866"/>
      <c r="W203" s="866"/>
      <c r="X203" s="866"/>
      <c r="Y203" s="866"/>
      <c r="Z203" s="866"/>
      <c r="AA203" s="866"/>
      <c r="AC203" s="230"/>
      <c r="AD203" s="265"/>
      <c r="AE203" s="265"/>
      <c r="AF203" s="230"/>
      <c r="AG203" s="230"/>
      <c r="AH203" s="265"/>
      <c r="AI203" s="265"/>
    </row>
    <row r="204" spans="1:35" hidden="1" x14ac:dyDescent="0.25">
      <c r="A204" s="319" t="s">
        <v>419</v>
      </c>
      <c r="B204" s="320"/>
      <c r="C204" s="320"/>
      <c r="D204" s="320"/>
      <c r="E204" s="320"/>
      <c r="F204" s="320"/>
      <c r="G204" s="320"/>
      <c r="H204" s="320"/>
      <c r="I204" s="320"/>
      <c r="J204" s="320"/>
      <c r="K204" s="320"/>
      <c r="L204" s="320"/>
      <c r="M204" s="320"/>
      <c r="N204" s="320"/>
      <c r="O204" s="320"/>
      <c r="P204" s="708"/>
      <c r="Q204" s="1585"/>
      <c r="R204" s="1077"/>
      <c r="S204" s="866"/>
      <c r="T204" s="866"/>
      <c r="U204" s="866"/>
      <c r="V204" s="866"/>
      <c r="W204" s="866"/>
      <c r="X204" s="866"/>
      <c r="Y204" s="866"/>
      <c r="Z204" s="866"/>
      <c r="AA204" s="866"/>
      <c r="AC204" s="230"/>
      <c r="AD204" s="265"/>
      <c r="AE204" s="265"/>
      <c r="AF204" s="230"/>
      <c r="AG204" s="230"/>
      <c r="AH204" s="265"/>
      <c r="AI204" s="265"/>
    </row>
    <row r="205" spans="1:35" hidden="1" x14ac:dyDescent="0.25">
      <c r="A205" s="319" t="s">
        <v>210</v>
      </c>
      <c r="B205" s="320"/>
      <c r="C205" s="320"/>
      <c r="D205" s="320"/>
      <c r="E205" s="320"/>
      <c r="F205" s="320"/>
      <c r="G205" s="320"/>
      <c r="H205" s="320"/>
      <c r="I205" s="320"/>
      <c r="J205" s="320"/>
      <c r="K205" s="320"/>
      <c r="L205" s="320"/>
      <c r="M205" s="320"/>
      <c r="N205" s="320"/>
      <c r="O205" s="320"/>
      <c r="P205" s="708"/>
      <c r="Q205" s="1585"/>
      <c r="R205" s="1077"/>
      <c r="S205" s="866"/>
      <c r="T205" s="866"/>
      <c r="U205" s="866"/>
      <c r="V205" s="866"/>
      <c r="W205" s="866"/>
      <c r="X205" s="866"/>
      <c r="Y205" s="866"/>
      <c r="Z205" s="866"/>
      <c r="AA205" s="866"/>
      <c r="AC205" s="230"/>
      <c r="AD205" s="265"/>
      <c r="AE205" s="265"/>
      <c r="AF205" s="230"/>
      <c r="AG205" s="230"/>
      <c r="AH205" s="265"/>
      <c r="AI205" s="265"/>
    </row>
    <row r="206" spans="1:35" ht="7.5" hidden="1" customHeight="1" x14ac:dyDescent="0.25">
      <c r="A206" s="319"/>
      <c r="B206" s="320"/>
      <c r="C206" s="320"/>
      <c r="D206" s="320"/>
      <c r="E206" s="320"/>
      <c r="F206" s="320"/>
      <c r="G206" s="320"/>
      <c r="H206" s="320"/>
      <c r="I206" s="320"/>
      <c r="J206" s="320"/>
      <c r="K206" s="320"/>
      <c r="L206" s="320"/>
      <c r="M206" s="320"/>
      <c r="N206" s="320"/>
      <c r="O206" s="320"/>
      <c r="P206" s="708"/>
      <c r="Q206" s="1585"/>
      <c r="R206" s="1077"/>
      <c r="S206" s="866"/>
      <c r="T206" s="866"/>
      <c r="U206" s="866"/>
      <c r="V206" s="866"/>
      <c r="W206" s="866"/>
      <c r="X206" s="866"/>
      <c r="Y206" s="866"/>
      <c r="Z206" s="866"/>
      <c r="AA206" s="866"/>
      <c r="AC206" s="230"/>
      <c r="AD206" s="265"/>
      <c r="AE206" s="265"/>
      <c r="AF206" s="230"/>
      <c r="AG206" s="230"/>
      <c r="AH206" s="265"/>
      <c r="AI206" s="265"/>
    </row>
    <row r="207" spans="1:35" hidden="1" x14ac:dyDescent="0.25">
      <c r="A207" s="319" t="s">
        <v>225</v>
      </c>
      <c r="B207" s="320"/>
      <c r="C207" s="320"/>
      <c r="D207" s="320"/>
      <c r="E207" s="320"/>
      <c r="F207" s="320"/>
      <c r="G207" s="320"/>
      <c r="H207" s="320"/>
      <c r="I207" s="320"/>
      <c r="J207" s="320"/>
      <c r="K207" s="320"/>
      <c r="L207" s="320"/>
      <c r="M207" s="320"/>
      <c r="N207" s="320"/>
      <c r="O207" s="320"/>
      <c r="P207" s="708"/>
      <c r="Q207" s="1585"/>
      <c r="R207" s="1077"/>
      <c r="S207" s="866"/>
      <c r="T207" s="866"/>
      <c r="U207" s="866"/>
      <c r="V207" s="866"/>
      <c r="W207" s="866"/>
      <c r="X207" s="866"/>
      <c r="Y207" s="866"/>
      <c r="Z207" s="866"/>
      <c r="AA207" s="866"/>
      <c r="AC207" s="230"/>
      <c r="AD207" s="265"/>
      <c r="AE207" s="265"/>
      <c r="AF207" s="230"/>
      <c r="AG207" s="230"/>
      <c r="AH207" s="265"/>
      <c r="AI207" s="265"/>
    </row>
    <row r="208" spans="1:35" hidden="1" x14ac:dyDescent="0.25">
      <c r="A208" s="319" t="s">
        <v>176</v>
      </c>
      <c r="B208" s="320"/>
      <c r="C208" s="320"/>
      <c r="D208" s="320"/>
      <c r="E208" s="320"/>
      <c r="F208" s="320"/>
      <c r="G208" s="320"/>
      <c r="H208" s="320"/>
      <c r="I208" s="320"/>
      <c r="J208" s="320"/>
      <c r="K208" s="320"/>
      <c r="L208" s="320"/>
      <c r="M208" s="320"/>
      <c r="N208" s="320"/>
      <c r="O208" s="320"/>
      <c r="P208" s="708"/>
      <c r="Q208" s="1585"/>
      <c r="R208" s="1077"/>
      <c r="S208" s="866"/>
      <c r="T208" s="866"/>
      <c r="U208" s="866"/>
      <c r="V208" s="866"/>
      <c r="W208" s="866"/>
      <c r="X208" s="866"/>
      <c r="Y208" s="866"/>
      <c r="Z208" s="866"/>
      <c r="AA208" s="866"/>
      <c r="AC208" s="230"/>
      <c r="AD208" s="265"/>
      <c r="AE208" s="265"/>
      <c r="AF208" s="230"/>
      <c r="AG208" s="230"/>
      <c r="AH208" s="265"/>
      <c r="AI208" s="265"/>
    </row>
    <row r="209" spans="1:84" hidden="1" x14ac:dyDescent="0.25">
      <c r="A209" s="319" t="s">
        <v>214</v>
      </c>
      <c r="B209" s="320"/>
      <c r="C209" s="320"/>
      <c r="D209" s="320"/>
      <c r="E209" s="320"/>
      <c r="F209" s="320"/>
      <c r="G209" s="320"/>
      <c r="H209" s="320"/>
      <c r="I209" s="320"/>
      <c r="J209" s="320"/>
      <c r="K209" s="320"/>
      <c r="L209" s="320"/>
      <c r="M209" s="320"/>
      <c r="N209" s="320"/>
      <c r="O209" s="320"/>
      <c r="P209" s="708"/>
      <c r="Q209" s="1585"/>
      <c r="R209" s="1077"/>
      <c r="S209" s="866"/>
      <c r="T209" s="866"/>
      <c r="U209" s="866"/>
      <c r="V209" s="866"/>
      <c r="W209" s="866"/>
      <c r="X209" s="866"/>
      <c r="Y209" s="866"/>
      <c r="Z209" s="866"/>
      <c r="AA209" s="866"/>
      <c r="AC209" s="230"/>
      <c r="AD209" s="265"/>
      <c r="AE209" s="265"/>
      <c r="AF209" s="230"/>
      <c r="AG209" s="230"/>
      <c r="AH209" s="265"/>
      <c r="AI209" s="265"/>
    </row>
    <row r="210" spans="1:84" hidden="1" x14ac:dyDescent="0.25">
      <c r="A210" s="319" t="s">
        <v>177</v>
      </c>
      <c r="B210" s="320"/>
      <c r="C210" s="320"/>
      <c r="D210" s="320"/>
      <c r="E210" s="320"/>
      <c r="F210" s="320"/>
      <c r="G210" s="320"/>
      <c r="H210" s="320"/>
      <c r="I210" s="320"/>
      <c r="J210" s="320"/>
      <c r="K210" s="320"/>
      <c r="L210" s="320"/>
      <c r="M210" s="320"/>
      <c r="N210" s="320"/>
      <c r="O210" s="320"/>
      <c r="P210" s="708"/>
      <c r="Q210" s="1585"/>
      <c r="R210" s="1077"/>
      <c r="S210" s="866"/>
      <c r="T210" s="866"/>
      <c r="U210" s="866"/>
      <c r="V210" s="866"/>
      <c r="W210" s="866"/>
      <c r="X210" s="866"/>
      <c r="Y210" s="866"/>
      <c r="Z210" s="866"/>
      <c r="AA210" s="866"/>
      <c r="AC210" s="230"/>
      <c r="AD210" s="265"/>
      <c r="AE210" s="265"/>
      <c r="AF210" s="230"/>
      <c r="AG210" s="230"/>
      <c r="AH210" s="265"/>
      <c r="AI210" s="265"/>
    </row>
    <row r="211" spans="1:84" hidden="1" x14ac:dyDescent="0.25">
      <c r="A211" s="319" t="s">
        <v>215</v>
      </c>
      <c r="B211" s="320"/>
      <c r="C211" s="320"/>
      <c r="D211" s="320"/>
      <c r="E211" s="320"/>
      <c r="F211" s="320"/>
      <c r="G211" s="320"/>
      <c r="H211" s="320"/>
      <c r="I211" s="320"/>
      <c r="J211" s="320"/>
      <c r="K211" s="320"/>
      <c r="L211" s="320"/>
      <c r="M211" s="320"/>
      <c r="N211" s="320"/>
      <c r="O211" s="320"/>
      <c r="P211" s="708"/>
      <c r="Q211" s="1585"/>
      <c r="R211" s="1077"/>
      <c r="S211" s="866"/>
      <c r="T211" s="866"/>
      <c r="U211" s="866"/>
      <c r="V211" s="866"/>
      <c r="W211" s="866"/>
      <c r="X211" s="866"/>
      <c r="Y211" s="866"/>
      <c r="Z211" s="866"/>
      <c r="AA211" s="866"/>
      <c r="AC211" s="230"/>
      <c r="AD211" s="265"/>
      <c r="AE211" s="265"/>
      <c r="AF211" s="230"/>
      <c r="AG211" s="230"/>
      <c r="AH211" s="265"/>
      <c r="AI211" s="265"/>
    </row>
    <row r="212" spans="1:84" hidden="1" x14ac:dyDescent="0.25">
      <c r="A212" s="319" t="s">
        <v>189</v>
      </c>
      <c r="B212" s="320"/>
      <c r="C212" s="320"/>
      <c r="D212" s="320"/>
      <c r="E212" s="320"/>
      <c r="F212" s="320"/>
      <c r="G212" s="320"/>
      <c r="H212" s="320"/>
      <c r="I212" s="320"/>
      <c r="J212" s="320"/>
      <c r="K212" s="320"/>
      <c r="L212" s="320"/>
      <c r="M212" s="320"/>
      <c r="N212" s="320"/>
      <c r="O212" s="320"/>
      <c r="P212" s="708"/>
      <c r="Q212" s="1585"/>
      <c r="R212" s="1077"/>
      <c r="S212" s="866"/>
      <c r="T212" s="866"/>
      <c r="U212" s="866"/>
      <c r="V212" s="866"/>
      <c r="W212" s="866"/>
      <c r="X212" s="866"/>
      <c r="Y212" s="866"/>
      <c r="Z212" s="866"/>
      <c r="AA212" s="866"/>
      <c r="AC212" s="230"/>
      <c r="AD212" s="265"/>
      <c r="AE212" s="265"/>
      <c r="AF212" s="230"/>
      <c r="AG212" s="230"/>
      <c r="AH212" s="265"/>
      <c r="AI212" s="265"/>
    </row>
    <row r="213" spans="1:84" hidden="1" x14ac:dyDescent="0.25">
      <c r="A213" s="319" t="s">
        <v>216</v>
      </c>
      <c r="B213" s="320"/>
      <c r="C213" s="320"/>
      <c r="D213" s="320"/>
      <c r="E213" s="320"/>
      <c r="F213" s="320"/>
      <c r="G213" s="320"/>
      <c r="H213" s="320"/>
      <c r="I213" s="320"/>
      <c r="J213" s="320"/>
      <c r="K213" s="320"/>
      <c r="L213" s="320"/>
      <c r="M213" s="320"/>
      <c r="N213" s="320"/>
      <c r="O213" s="320"/>
      <c r="P213" s="708"/>
      <c r="Q213" s="1585"/>
      <c r="R213" s="1077"/>
      <c r="S213" s="866"/>
      <c r="T213" s="866"/>
      <c r="U213" s="866"/>
      <c r="V213" s="866"/>
      <c r="W213" s="866"/>
      <c r="X213" s="866"/>
      <c r="Y213" s="866"/>
      <c r="Z213" s="866"/>
      <c r="AA213" s="866"/>
      <c r="AC213" s="230"/>
      <c r="AD213" s="265"/>
      <c r="AE213" s="265"/>
      <c r="AF213" s="230"/>
      <c r="AG213" s="230"/>
      <c r="AH213" s="265"/>
      <c r="AI213" s="265"/>
    </row>
    <row r="214" spans="1:84" hidden="1" x14ac:dyDescent="0.25">
      <c r="A214" s="319" t="s">
        <v>217</v>
      </c>
      <c r="B214" s="320"/>
      <c r="C214" s="320"/>
      <c r="D214" s="320"/>
      <c r="E214" s="320"/>
      <c r="F214" s="320"/>
      <c r="G214" s="320"/>
      <c r="H214" s="320"/>
      <c r="I214" s="320"/>
      <c r="J214" s="320"/>
      <c r="K214" s="320"/>
      <c r="L214" s="320"/>
      <c r="M214" s="320"/>
      <c r="N214" s="320"/>
      <c r="O214" s="320"/>
      <c r="P214" s="708"/>
      <c r="Q214" s="1585"/>
      <c r="R214" s="1077"/>
      <c r="S214" s="866"/>
      <c r="T214" s="866"/>
      <c r="U214" s="866"/>
      <c r="V214" s="866"/>
      <c r="W214" s="866"/>
      <c r="X214" s="866"/>
      <c r="Y214" s="866"/>
      <c r="Z214" s="866"/>
      <c r="AA214" s="866"/>
      <c r="AC214" s="230"/>
      <c r="AD214" s="265"/>
      <c r="AE214" s="265"/>
      <c r="AF214" s="230"/>
      <c r="AG214" s="230"/>
      <c r="AH214" s="265"/>
      <c r="AI214" s="265"/>
    </row>
    <row r="215" spans="1:84" x14ac:dyDescent="0.25">
      <c r="A215" s="453"/>
      <c r="B215" s="328"/>
      <c r="C215" s="328"/>
      <c r="D215" s="328"/>
      <c r="E215" s="328"/>
      <c r="F215" s="328"/>
      <c r="G215" s="328"/>
      <c r="H215" s="328"/>
      <c r="I215" s="328"/>
      <c r="J215" s="328"/>
      <c r="K215" s="328"/>
      <c r="L215" s="328"/>
      <c r="M215" s="328"/>
      <c r="N215" s="328"/>
      <c r="O215" s="328"/>
      <c r="P215" s="708"/>
      <c r="Q215" s="1585"/>
      <c r="R215" s="1077"/>
      <c r="S215" s="866"/>
      <c r="T215" s="866"/>
      <c r="U215" s="866"/>
      <c r="V215" s="866"/>
      <c r="W215" s="866"/>
      <c r="X215" s="866"/>
      <c r="Y215" s="866"/>
      <c r="Z215" s="866"/>
      <c r="AA215" s="866"/>
      <c r="AC215" s="230"/>
      <c r="AD215" s="265"/>
      <c r="AE215" s="265"/>
      <c r="AF215" s="230"/>
      <c r="AG215" s="230"/>
      <c r="AH215" s="265"/>
      <c r="AI215" s="265"/>
    </row>
    <row r="216" spans="1:84" ht="25.5" customHeight="1" thickBot="1" x14ac:dyDescent="0.3">
      <c r="A216" s="1235" t="s">
        <v>565</v>
      </c>
      <c r="B216" s="453"/>
      <c r="C216" s="453"/>
      <c r="D216" s="328"/>
      <c r="E216" s="328"/>
      <c r="F216" s="328"/>
      <c r="G216" s="328"/>
      <c r="H216" s="328"/>
      <c r="I216" s="328"/>
      <c r="J216" s="328"/>
      <c r="K216" s="328"/>
      <c r="L216" s="328"/>
      <c r="M216" s="328"/>
      <c r="N216" s="328"/>
      <c r="O216" s="443"/>
      <c r="P216" s="708"/>
      <c r="Q216" s="1585"/>
      <c r="R216" s="1077"/>
      <c r="S216" s="866"/>
      <c r="T216" s="866"/>
      <c r="U216" s="866"/>
      <c r="V216" s="866"/>
      <c r="W216" s="866"/>
      <c r="X216" s="866"/>
      <c r="Y216" s="866"/>
      <c r="Z216" s="866"/>
      <c r="AA216" s="866"/>
      <c r="AC216" s="230"/>
      <c r="AD216" s="265"/>
      <c r="AE216" s="265"/>
      <c r="AF216" s="230"/>
      <c r="AG216" s="230"/>
      <c r="AH216" s="265"/>
      <c r="AI216" s="265"/>
      <c r="AO216" s="126" t="s">
        <v>183</v>
      </c>
      <c r="AQ216" s="125" t="e">
        <f>AQ249/AS249</f>
        <v>#DIV/0!</v>
      </c>
      <c r="AR216" s="125" t="e">
        <f>AR249/AS249</f>
        <v>#DIV/0!</v>
      </c>
      <c r="AS216" s="154" t="e">
        <f>AQ216+AR216</f>
        <v>#DIV/0!</v>
      </c>
    </row>
    <row r="217" spans="1:84" ht="15" thickTop="1" thickBot="1" x14ac:dyDescent="0.3">
      <c r="A217" s="1226" t="s">
        <v>564</v>
      </c>
      <c r="B217" s="319"/>
      <c r="C217" s="319"/>
      <c r="D217" s="320"/>
      <c r="E217" s="320"/>
      <c r="F217" s="320"/>
      <c r="G217" s="320"/>
      <c r="H217" s="320"/>
      <c r="I217" s="320"/>
      <c r="J217" s="320"/>
      <c r="K217" s="320"/>
      <c r="L217" s="320"/>
      <c r="M217" s="321" t="s">
        <v>59</v>
      </c>
      <c r="N217" s="320"/>
      <c r="O217" s="1094" t="s">
        <v>444</v>
      </c>
      <c r="P217" s="708"/>
      <c r="Q217" s="1585"/>
      <c r="R217" s="1077"/>
      <c r="S217" s="866"/>
      <c r="T217" s="866"/>
      <c r="U217" s="866"/>
      <c r="V217" s="866"/>
      <c r="W217" s="866"/>
      <c r="X217" s="866"/>
      <c r="Y217" s="866"/>
      <c r="Z217" s="866"/>
      <c r="AA217" s="866"/>
      <c r="AC217" s="230"/>
      <c r="AD217" s="265"/>
      <c r="AE217" s="265"/>
      <c r="AF217" s="230"/>
      <c r="AG217" s="230"/>
      <c r="AH217" s="265"/>
      <c r="AI217" s="265"/>
    </row>
    <row r="218" spans="1:84" ht="15" thickTop="1" thickBot="1" x14ac:dyDescent="0.3">
      <c r="A218" s="1226" t="s">
        <v>318</v>
      </c>
      <c r="B218" s="319"/>
      <c r="C218" s="319"/>
      <c r="D218" s="320"/>
      <c r="E218" s="320"/>
      <c r="F218" s="320"/>
      <c r="G218" s="320"/>
      <c r="H218" s="320"/>
      <c r="I218" s="320"/>
      <c r="J218" s="320"/>
      <c r="K218" s="320"/>
      <c r="L218" s="320"/>
      <c r="M218" s="320"/>
      <c r="N218" s="449"/>
      <c r="O218" s="320"/>
      <c r="P218" s="708"/>
      <c r="Q218" s="1585"/>
      <c r="R218" s="1077"/>
      <c r="S218" s="866"/>
      <c r="T218" s="866"/>
      <c r="U218" s="866"/>
      <c r="V218" s="866"/>
      <c r="W218" s="866"/>
      <c r="X218" s="866"/>
      <c r="Y218" s="866"/>
      <c r="Z218" s="866"/>
      <c r="AA218" s="866"/>
      <c r="AC218" s="230"/>
      <c r="AD218" s="265"/>
      <c r="AE218" s="265"/>
      <c r="AF218" s="230"/>
      <c r="AG218" s="230"/>
      <c r="AH218" s="265"/>
      <c r="AI218" s="265"/>
    </row>
    <row r="219" spans="1:84" s="56" customFormat="1" ht="15" thickTop="1" thickBot="1" x14ac:dyDescent="0.3">
      <c r="A219" s="450"/>
      <c r="B219" s="450"/>
      <c r="C219" s="450"/>
      <c r="D219" s="325"/>
      <c r="E219" s="325"/>
      <c r="F219" s="325"/>
      <c r="G219" s="325"/>
      <c r="H219" s="325"/>
      <c r="I219" s="325"/>
      <c r="J219" s="325"/>
      <c r="K219" s="325"/>
      <c r="L219" s="325"/>
      <c r="M219" s="325"/>
      <c r="N219" s="325"/>
      <c r="O219" s="451"/>
      <c r="P219" s="1605"/>
      <c r="Q219" s="1606"/>
      <c r="R219" s="1271"/>
      <c r="S219" s="325"/>
      <c r="T219" s="325"/>
      <c r="U219" s="325"/>
      <c r="V219" s="325"/>
      <c r="W219" s="325"/>
      <c r="X219" s="325"/>
      <c r="Y219" s="325"/>
      <c r="Z219" s="325"/>
      <c r="AA219" s="325"/>
      <c r="AC219" s="325"/>
      <c r="AD219" s="511"/>
      <c r="AE219" s="511"/>
      <c r="AF219" s="325"/>
      <c r="AG219" s="325"/>
      <c r="AH219" s="511"/>
      <c r="AI219" s="511"/>
      <c r="AT219" s="325"/>
      <c r="AU219" s="325"/>
      <c r="AV219" s="325"/>
      <c r="AW219" s="325"/>
      <c r="AX219" s="325"/>
      <c r="AY219" s="325"/>
      <c r="AZ219" s="325"/>
      <c r="BA219" s="325"/>
      <c r="BB219" s="325"/>
      <c r="BC219" s="325"/>
      <c r="BD219" s="325"/>
      <c r="BE219" s="325"/>
      <c r="BF219" s="325"/>
      <c r="BG219" s="36"/>
      <c r="BH219" s="36"/>
      <c r="BI219" s="36"/>
      <c r="BJ219" s="36"/>
      <c r="BK219" s="36"/>
      <c r="BL219" s="36"/>
      <c r="BM219" s="36"/>
      <c r="BN219" s="36"/>
      <c r="BO219" s="36"/>
      <c r="BP219" s="36"/>
      <c r="BQ219" s="36"/>
      <c r="BR219" s="36"/>
      <c r="BS219" s="36"/>
      <c r="BT219" s="36"/>
      <c r="BU219" s="36"/>
      <c r="BV219" s="36"/>
      <c r="BW219" s="36"/>
      <c r="BX219" s="36"/>
      <c r="BY219" s="36"/>
      <c r="BZ219" s="36"/>
      <c r="CA219" s="36"/>
      <c r="CB219" s="36"/>
      <c r="CC219" s="36"/>
      <c r="CD219" s="36"/>
      <c r="CE219" s="36"/>
      <c r="CF219" s="36"/>
    </row>
    <row r="220" spans="1:84" ht="16.5" customHeight="1" thickTop="1" thickBot="1" x14ac:dyDescent="0.3">
      <c r="A220" s="1093" t="s">
        <v>381</v>
      </c>
      <c r="B220" s="438"/>
      <c r="C220" s="438"/>
      <c r="D220" s="438"/>
      <c r="E220" s="438"/>
      <c r="F220" s="438"/>
      <c r="G220" s="438"/>
      <c r="H220" s="438"/>
      <c r="I220" s="438"/>
      <c r="J220" s="438"/>
      <c r="K220" s="438"/>
      <c r="L220" s="321" t="s">
        <v>60</v>
      </c>
      <c r="M220" s="438"/>
      <c r="N220" s="438"/>
      <c r="O220" s="1094" t="s">
        <v>114</v>
      </c>
      <c r="P220" s="708"/>
      <c r="Q220" s="1585"/>
      <c r="R220" s="1077"/>
      <c r="S220" s="866"/>
      <c r="T220" s="866"/>
      <c r="U220" s="866"/>
      <c r="V220" s="866"/>
      <c r="W220" s="866"/>
      <c r="X220" s="866"/>
      <c r="Y220" s="866"/>
      <c r="Z220" s="866"/>
      <c r="AA220" s="866"/>
      <c r="AC220" s="230"/>
      <c r="AD220" s="265"/>
      <c r="AE220" s="265"/>
      <c r="AF220" s="230"/>
      <c r="AG220" s="230"/>
      <c r="AH220" s="265"/>
      <c r="AI220" s="265"/>
    </row>
    <row r="221" spans="1:84" ht="15" thickTop="1" thickBot="1" x14ac:dyDescent="0.3">
      <c r="A221" s="1226" t="s">
        <v>319</v>
      </c>
      <c r="B221" s="319"/>
      <c r="C221" s="319"/>
      <c r="D221" s="320"/>
      <c r="E221" s="320"/>
      <c r="F221" s="320"/>
      <c r="G221" s="320"/>
      <c r="H221" s="320"/>
      <c r="I221" s="320"/>
      <c r="J221" s="320"/>
      <c r="K221" s="320"/>
      <c r="L221" s="320"/>
      <c r="M221" s="320"/>
      <c r="N221" s="320"/>
      <c r="O221" s="320"/>
      <c r="P221" s="708"/>
      <c r="Q221" s="1585"/>
      <c r="R221" s="1077"/>
      <c r="S221" s="866"/>
      <c r="T221" s="866"/>
      <c r="U221" s="866"/>
      <c r="V221" s="866"/>
      <c r="W221" s="866"/>
      <c r="X221" s="866"/>
      <c r="Y221" s="866"/>
      <c r="Z221" s="866"/>
      <c r="AA221" s="866"/>
      <c r="AC221" s="230"/>
      <c r="AD221" s="265"/>
      <c r="AE221" s="265"/>
      <c r="AF221" s="230"/>
      <c r="AG221" s="230"/>
      <c r="AH221" s="265"/>
      <c r="AI221" s="265"/>
    </row>
    <row r="222" spans="1:84" ht="15" thickTop="1" thickBot="1" x14ac:dyDescent="0.3">
      <c r="A222" s="319"/>
      <c r="B222" s="319"/>
      <c r="C222" s="319"/>
      <c r="D222" s="320"/>
      <c r="E222" s="320"/>
      <c r="F222" s="320"/>
      <c r="G222" s="320"/>
      <c r="H222" s="320"/>
      <c r="I222" s="320"/>
      <c r="J222" s="320"/>
      <c r="K222" s="320"/>
      <c r="L222" s="320"/>
      <c r="M222" s="320"/>
      <c r="N222" s="320"/>
      <c r="O222" s="452"/>
      <c r="P222" s="708"/>
      <c r="Q222" s="1585"/>
      <c r="R222" s="1077"/>
      <c r="S222" s="866"/>
      <c r="T222" s="866"/>
      <c r="U222" s="866"/>
      <c r="V222" s="866"/>
      <c r="W222" s="866"/>
      <c r="X222" s="866"/>
      <c r="Y222" s="866"/>
      <c r="Z222" s="866"/>
      <c r="AA222" s="866"/>
      <c r="AC222" s="230"/>
      <c r="AD222" s="265"/>
      <c r="AE222" s="265"/>
      <c r="AF222" s="230"/>
      <c r="AG222" s="230"/>
      <c r="AH222" s="265"/>
      <c r="AI222" s="265"/>
    </row>
    <row r="223" spans="1:84" ht="15" thickTop="1" thickBot="1" x14ac:dyDescent="0.3">
      <c r="A223" s="319"/>
      <c r="B223" s="319"/>
      <c r="C223" s="319"/>
      <c r="D223" s="320"/>
      <c r="E223" s="320"/>
      <c r="F223" s="320"/>
      <c r="G223" s="320"/>
      <c r="H223" s="320"/>
      <c r="I223" s="320"/>
      <c r="J223" s="320"/>
      <c r="K223" s="320"/>
      <c r="L223" s="320"/>
      <c r="M223" s="320"/>
      <c r="N223" s="320"/>
      <c r="O223" s="452"/>
      <c r="P223" s="708"/>
      <c r="Q223" s="1585"/>
      <c r="R223" s="1077"/>
      <c r="S223" s="866"/>
      <c r="T223" s="866"/>
      <c r="U223" s="866"/>
      <c r="V223" s="866"/>
      <c r="W223" s="866"/>
      <c r="X223" s="866"/>
      <c r="Y223" s="866"/>
      <c r="Z223" s="866"/>
      <c r="AA223" s="866"/>
      <c r="AC223" s="230"/>
      <c r="AD223" s="265"/>
      <c r="AE223" s="265"/>
      <c r="AF223" s="230"/>
      <c r="AG223" s="230"/>
      <c r="AH223" s="265"/>
      <c r="AI223" s="265"/>
    </row>
    <row r="224" spans="1:84" ht="15" thickTop="1" thickBot="1" x14ac:dyDescent="0.3">
      <c r="A224" s="319"/>
      <c r="B224" s="319"/>
      <c r="C224" s="319"/>
      <c r="D224" s="320"/>
      <c r="E224" s="320"/>
      <c r="F224" s="320"/>
      <c r="G224" s="320"/>
      <c r="H224" s="320"/>
      <c r="I224" s="320"/>
      <c r="J224" s="320"/>
      <c r="K224" s="320"/>
      <c r="L224" s="320"/>
      <c r="M224" s="320"/>
      <c r="N224" s="320"/>
      <c r="O224" s="452"/>
      <c r="P224" s="708"/>
      <c r="Q224" s="1585"/>
      <c r="R224" s="1077"/>
      <c r="S224" s="866"/>
      <c r="T224" s="866"/>
      <c r="U224" s="866"/>
      <c r="V224" s="866"/>
      <c r="W224" s="866"/>
      <c r="X224" s="866"/>
      <c r="Y224" s="866"/>
      <c r="Z224" s="866"/>
      <c r="AA224" s="866"/>
      <c r="AC224" s="230"/>
      <c r="AD224" s="265"/>
      <c r="AE224" s="265"/>
      <c r="AF224" s="230"/>
      <c r="AG224" s="230"/>
      <c r="AH224" s="265"/>
      <c r="AI224" s="265"/>
    </row>
    <row r="225" spans="1:84" s="867" customFormat="1" ht="14.4" thickTop="1" x14ac:dyDescent="0.25">
      <c r="A225" s="450"/>
      <c r="B225" s="450"/>
      <c r="C225" s="450"/>
      <c r="D225" s="325"/>
      <c r="E225" s="325"/>
      <c r="F225" s="325"/>
      <c r="G225" s="325"/>
      <c r="H225" s="325"/>
      <c r="I225" s="325"/>
      <c r="J225" s="325"/>
      <c r="K225" s="325"/>
      <c r="L225" s="325"/>
      <c r="M225" s="325"/>
      <c r="N225" s="325"/>
      <c r="O225" s="451"/>
      <c r="P225" s="708"/>
      <c r="Q225" s="1585"/>
      <c r="R225" s="1077"/>
      <c r="S225" s="866"/>
      <c r="T225" s="866"/>
      <c r="U225" s="866"/>
      <c r="V225" s="866"/>
      <c r="W225" s="866"/>
      <c r="X225" s="866"/>
      <c r="Y225" s="866"/>
      <c r="Z225" s="866"/>
      <c r="AA225" s="866"/>
      <c r="AC225" s="866"/>
      <c r="AD225" s="868"/>
      <c r="AE225" s="868"/>
      <c r="AF225" s="866"/>
      <c r="AG225" s="866"/>
      <c r="AH225" s="868"/>
      <c r="AI225" s="868"/>
      <c r="AT225" s="866"/>
      <c r="AU225" s="866"/>
      <c r="AV225" s="866"/>
      <c r="AW225" s="866"/>
      <c r="AX225" s="866"/>
      <c r="AY225" s="866"/>
      <c r="AZ225" s="866"/>
      <c r="BA225" s="866"/>
      <c r="BB225" s="866"/>
      <c r="BC225" s="866"/>
      <c r="BD225" s="866"/>
      <c r="BE225" s="866"/>
      <c r="BF225" s="866"/>
      <c r="BG225" s="869"/>
      <c r="BH225" s="869"/>
      <c r="BI225" s="869"/>
      <c r="BJ225" s="869"/>
      <c r="BK225" s="869"/>
      <c r="BL225" s="869"/>
      <c r="BM225" s="869"/>
      <c r="BN225" s="869"/>
      <c r="BO225" s="869"/>
      <c r="BP225" s="869"/>
      <c r="BQ225" s="869"/>
      <c r="BR225" s="869"/>
      <c r="BS225" s="869"/>
      <c r="BT225" s="869"/>
      <c r="BU225" s="869"/>
      <c r="BV225" s="869"/>
      <c r="BW225" s="869"/>
      <c r="BX225" s="869"/>
      <c r="BY225" s="869"/>
      <c r="BZ225" s="869"/>
      <c r="CA225" s="869"/>
      <c r="CB225" s="869"/>
      <c r="CC225" s="869"/>
      <c r="CD225" s="869"/>
      <c r="CE225" s="869"/>
      <c r="CF225" s="869"/>
    </row>
    <row r="226" spans="1:84" ht="25.5" customHeight="1" thickBot="1" x14ac:dyDescent="0.3">
      <c r="A226" s="1235" t="s">
        <v>566</v>
      </c>
      <c r="B226" s="453"/>
      <c r="C226" s="453"/>
      <c r="D226" s="328"/>
      <c r="E226" s="328"/>
      <c r="F226" s="328"/>
      <c r="G226" s="328"/>
      <c r="H226" s="328"/>
      <c r="I226" s="328"/>
      <c r="J226" s="328"/>
      <c r="K226" s="328"/>
      <c r="L226" s="328"/>
      <c r="M226" s="328"/>
      <c r="N226" s="328"/>
      <c r="O226" s="443"/>
      <c r="P226" s="708"/>
      <c r="Q226" s="1585"/>
      <c r="R226" s="1077"/>
      <c r="S226" s="866"/>
      <c r="T226" s="866"/>
      <c r="U226" s="866"/>
      <c r="V226" s="866"/>
      <c r="W226" s="866"/>
      <c r="X226" s="866"/>
      <c r="Y226" s="866"/>
      <c r="Z226" s="866"/>
      <c r="AA226" s="866"/>
      <c r="AC226" s="230"/>
      <c r="AD226" s="265"/>
      <c r="AE226" s="265"/>
      <c r="AF226" s="230"/>
      <c r="AG226" s="230"/>
      <c r="AH226" s="265"/>
      <c r="AI226" s="265"/>
      <c r="AO226" s="126" t="s">
        <v>183</v>
      </c>
      <c r="AQ226" s="125" t="e">
        <f>AQ99/AS99</f>
        <v>#REF!</v>
      </c>
      <c r="AR226" s="125" t="e">
        <f>AR99/AS99</f>
        <v>#REF!</v>
      </c>
      <c r="AS226" s="154" t="e">
        <f>AQ226+AR226</f>
        <v>#REF!</v>
      </c>
    </row>
    <row r="227" spans="1:84" ht="15" thickTop="1" thickBot="1" x14ac:dyDescent="0.3">
      <c r="A227" s="1226" t="s">
        <v>384</v>
      </c>
      <c r="B227" s="319"/>
      <c r="C227" s="319"/>
      <c r="D227" s="320"/>
      <c r="E227" s="320"/>
      <c r="F227" s="320"/>
      <c r="G227" s="320"/>
      <c r="H227" s="320"/>
      <c r="I227" s="320"/>
      <c r="J227" s="320"/>
      <c r="K227" s="320"/>
      <c r="L227" s="309"/>
      <c r="M227" s="321" t="s">
        <v>59</v>
      </c>
      <c r="N227" s="320"/>
      <c r="O227" s="1094" t="s">
        <v>52</v>
      </c>
      <c r="P227" s="708"/>
      <c r="Q227" s="1585"/>
      <c r="R227" s="1077"/>
      <c r="S227" s="866"/>
      <c r="T227" s="866"/>
      <c r="U227" s="866"/>
      <c r="V227" s="866"/>
      <c r="W227" s="866"/>
      <c r="X227" s="866"/>
      <c r="Y227" s="866"/>
      <c r="Z227" s="866"/>
      <c r="AA227" s="866"/>
      <c r="AC227" s="230"/>
      <c r="AD227" s="265"/>
      <c r="AE227" s="265"/>
      <c r="AF227" s="230"/>
      <c r="AG227" s="230"/>
      <c r="AH227" s="265"/>
      <c r="AI227" s="265"/>
    </row>
    <row r="228" spans="1:84" ht="15" hidden="1" thickTop="1" thickBot="1" x14ac:dyDescent="0.3">
      <c r="A228" s="313"/>
      <c r="B228" s="313"/>
      <c r="C228" s="313"/>
      <c r="D228" s="314"/>
      <c r="E228" s="314"/>
      <c r="F228" s="314"/>
      <c r="G228" s="314"/>
      <c r="H228" s="314"/>
      <c r="I228" s="314"/>
      <c r="J228" s="314"/>
      <c r="K228" s="314"/>
      <c r="L228" s="315"/>
      <c r="M228" s="314"/>
      <c r="N228" s="314"/>
      <c r="O228" s="316" t="s">
        <v>56</v>
      </c>
      <c r="P228" s="708"/>
      <c r="Q228" s="1585"/>
      <c r="R228" s="1077"/>
      <c r="S228" s="866"/>
      <c r="T228" s="866"/>
      <c r="U228" s="866"/>
      <c r="V228" s="866"/>
      <c r="W228" s="866"/>
      <c r="X228" s="866"/>
      <c r="Y228" s="866"/>
      <c r="Z228" s="866"/>
      <c r="AA228" s="866"/>
      <c r="AC228" s="230"/>
      <c r="AD228" s="265"/>
      <c r="AE228" s="265"/>
      <c r="AF228" s="230"/>
      <c r="AG228" s="230"/>
      <c r="AH228" s="265"/>
      <c r="AI228" s="265"/>
    </row>
    <row r="229" spans="1:84" ht="15" hidden="1" thickTop="1" thickBot="1" x14ac:dyDescent="0.3">
      <c r="A229" s="313"/>
      <c r="B229" s="313"/>
      <c r="C229" s="313"/>
      <c r="D229" s="314"/>
      <c r="E229" s="314"/>
      <c r="F229" s="314"/>
      <c r="G229" s="314"/>
      <c r="H229" s="314"/>
      <c r="I229" s="314"/>
      <c r="J229" s="314"/>
      <c r="K229" s="314"/>
      <c r="L229" s="315"/>
      <c r="M229" s="314"/>
      <c r="N229" s="314"/>
      <c r="O229" s="317">
        <v>0</v>
      </c>
      <c r="P229" s="708"/>
      <c r="Q229" s="1585"/>
      <c r="R229" s="1077"/>
      <c r="S229" s="866"/>
      <c r="T229" s="866"/>
      <c r="U229" s="866"/>
      <c r="V229" s="866"/>
      <c r="W229" s="866"/>
      <c r="X229" s="866"/>
      <c r="Y229" s="866"/>
      <c r="Z229" s="866"/>
      <c r="AA229" s="866"/>
      <c r="AC229" s="230"/>
      <c r="AD229" s="265"/>
      <c r="AE229" s="265"/>
      <c r="AF229" s="230"/>
      <c r="AG229" s="230"/>
      <c r="AH229" s="265"/>
      <c r="AI229" s="265"/>
    </row>
    <row r="230" spans="1:84" ht="15" hidden="1" thickTop="1" thickBot="1" x14ac:dyDescent="0.3">
      <c r="A230" s="313"/>
      <c r="B230" s="313"/>
      <c r="C230" s="313"/>
      <c r="D230" s="314"/>
      <c r="E230" s="314"/>
      <c r="F230" s="314"/>
      <c r="G230" s="314"/>
      <c r="H230" s="314"/>
      <c r="I230" s="314"/>
      <c r="J230" s="314"/>
      <c r="K230" s="314"/>
      <c r="L230" s="315"/>
      <c r="M230" s="314"/>
      <c r="N230" s="314"/>
      <c r="O230" s="317">
        <v>0.08</v>
      </c>
      <c r="P230" s="708"/>
      <c r="Q230" s="1585"/>
      <c r="R230" s="1077"/>
      <c r="S230" s="866"/>
      <c r="T230" s="866"/>
      <c r="U230" s="866"/>
      <c r="V230" s="866"/>
      <c r="W230" s="866"/>
      <c r="X230" s="866"/>
      <c r="Y230" s="866"/>
      <c r="Z230" s="866"/>
      <c r="AA230" s="866"/>
      <c r="AC230" s="230"/>
      <c r="AD230" s="265"/>
      <c r="AE230" s="265"/>
      <c r="AF230" s="230"/>
      <c r="AG230" s="230"/>
      <c r="AH230" s="265"/>
      <c r="AI230" s="265"/>
    </row>
    <row r="231" spans="1:84" ht="15" hidden="1" thickTop="1" thickBot="1" x14ac:dyDescent="0.3">
      <c r="A231" s="313"/>
      <c r="B231" s="313"/>
      <c r="C231" s="313"/>
      <c r="D231" s="314"/>
      <c r="E231" s="314"/>
      <c r="F231" s="314"/>
      <c r="G231" s="314"/>
      <c r="H231" s="314"/>
      <c r="I231" s="314"/>
      <c r="J231" s="314"/>
      <c r="K231" s="314"/>
      <c r="L231" s="315"/>
      <c r="M231" s="314"/>
      <c r="N231" s="314"/>
      <c r="O231" s="317">
        <v>0.1</v>
      </c>
      <c r="P231" s="708"/>
      <c r="Q231" s="1585"/>
      <c r="R231" s="1077"/>
      <c r="S231" s="866"/>
      <c r="T231" s="866"/>
      <c r="U231" s="866"/>
      <c r="V231" s="866"/>
      <c r="W231" s="866"/>
      <c r="X231" s="866"/>
      <c r="Y231" s="866"/>
      <c r="Z231" s="866"/>
      <c r="AA231" s="866"/>
      <c r="AC231" s="230"/>
      <c r="AD231" s="265"/>
      <c r="AE231" s="265"/>
      <c r="AF231" s="230"/>
      <c r="AG231" s="230"/>
      <c r="AH231" s="265"/>
      <c r="AI231" s="265"/>
    </row>
    <row r="232" spans="1:84" ht="15" hidden="1" thickTop="1" thickBot="1" x14ac:dyDescent="0.3">
      <c r="A232" s="313"/>
      <c r="B232" s="313"/>
      <c r="C232" s="313"/>
      <c r="D232" s="314"/>
      <c r="E232" s="314"/>
      <c r="F232" s="314"/>
      <c r="G232" s="314"/>
      <c r="H232" s="314"/>
      <c r="I232" s="314"/>
      <c r="J232" s="314"/>
      <c r="K232" s="314"/>
      <c r="L232" s="315"/>
      <c r="M232" s="314"/>
      <c r="N232" s="314"/>
      <c r="O232" s="317">
        <v>0.15</v>
      </c>
      <c r="P232" s="708"/>
      <c r="Q232" s="1585"/>
      <c r="R232" s="1077"/>
      <c r="S232" s="866"/>
      <c r="T232" s="866"/>
      <c r="U232" s="866"/>
      <c r="V232" s="866"/>
      <c r="W232" s="866"/>
      <c r="X232" s="866"/>
      <c r="Y232" s="866"/>
      <c r="Z232" s="866"/>
      <c r="AA232" s="866"/>
      <c r="AC232" s="230"/>
      <c r="AD232" s="265"/>
      <c r="AE232" s="265"/>
      <c r="AF232" s="230"/>
      <c r="AG232" s="230"/>
      <c r="AH232" s="265"/>
      <c r="AI232" s="265"/>
    </row>
    <row r="233" spans="1:84" ht="15" hidden="1" thickTop="1" thickBot="1" x14ac:dyDescent="0.3">
      <c r="A233" s="313"/>
      <c r="B233" s="313"/>
      <c r="C233" s="313"/>
      <c r="D233" s="314"/>
      <c r="E233" s="314"/>
      <c r="F233" s="314"/>
      <c r="G233" s="314"/>
      <c r="H233" s="314"/>
      <c r="I233" s="314"/>
      <c r="J233" s="314"/>
      <c r="K233" s="314"/>
      <c r="L233" s="315"/>
      <c r="M233" s="314"/>
      <c r="N233" s="314"/>
      <c r="O233" s="317">
        <v>0.2</v>
      </c>
      <c r="P233" s="708"/>
      <c r="Q233" s="1585"/>
      <c r="R233" s="1077"/>
      <c r="S233" s="866"/>
      <c r="T233" s="866"/>
      <c r="U233" s="866"/>
      <c r="V233" s="866"/>
      <c r="W233" s="866"/>
      <c r="X233" s="866"/>
      <c r="Y233" s="866"/>
      <c r="Z233" s="866"/>
      <c r="AA233" s="866"/>
      <c r="AC233" s="230"/>
      <c r="AD233" s="265"/>
      <c r="AE233" s="265"/>
      <c r="AF233" s="230"/>
      <c r="AG233" s="230"/>
      <c r="AH233" s="265"/>
      <c r="AI233" s="265"/>
    </row>
    <row r="234" spans="1:84" ht="15" hidden="1" thickTop="1" thickBot="1" x14ac:dyDescent="0.3">
      <c r="A234" s="313"/>
      <c r="B234" s="313"/>
      <c r="C234" s="313"/>
      <c r="D234" s="314"/>
      <c r="E234" s="314"/>
      <c r="F234" s="314"/>
      <c r="G234" s="314"/>
      <c r="H234" s="314"/>
      <c r="I234" s="314"/>
      <c r="J234" s="314"/>
      <c r="K234" s="314"/>
      <c r="L234" s="315"/>
      <c r="M234" s="314"/>
      <c r="N234" s="314"/>
      <c r="O234" s="317">
        <v>0.25</v>
      </c>
      <c r="P234" s="708"/>
      <c r="Q234" s="1585"/>
      <c r="R234" s="1077"/>
      <c r="S234" s="866"/>
      <c r="T234" s="866"/>
      <c r="U234" s="866"/>
      <c r="V234" s="866"/>
      <c r="W234" s="866"/>
      <c r="X234" s="866"/>
      <c r="Y234" s="866"/>
      <c r="Z234" s="866"/>
      <c r="AA234" s="866"/>
      <c r="AC234" s="230"/>
      <c r="AD234" s="265"/>
      <c r="AE234" s="265"/>
      <c r="AF234" s="230"/>
      <c r="AG234" s="230"/>
      <c r="AH234" s="265"/>
      <c r="AI234" s="265"/>
    </row>
    <row r="235" spans="1:84" ht="15" hidden="1" thickTop="1" thickBot="1" x14ac:dyDescent="0.3">
      <c r="A235" s="313"/>
      <c r="B235" s="313"/>
      <c r="C235" s="313"/>
      <c r="D235" s="314"/>
      <c r="E235" s="314"/>
      <c r="F235" s="314"/>
      <c r="G235" s="314"/>
      <c r="H235" s="314"/>
      <c r="I235" s="314"/>
      <c r="J235" s="314"/>
      <c r="K235" s="314"/>
      <c r="L235" s="315"/>
      <c r="M235" s="314"/>
      <c r="N235" s="314"/>
      <c r="O235" s="317">
        <v>0.26</v>
      </c>
      <c r="P235" s="708"/>
      <c r="Q235" s="1585"/>
      <c r="R235" s="1077"/>
      <c r="S235" s="866"/>
      <c r="T235" s="866"/>
      <c r="U235" s="866"/>
      <c r="V235" s="866"/>
      <c r="W235" s="866"/>
      <c r="X235" s="866"/>
      <c r="Y235" s="866"/>
      <c r="Z235" s="866"/>
      <c r="AA235" s="866"/>
      <c r="AC235" s="230"/>
      <c r="AD235" s="265"/>
      <c r="AE235" s="265"/>
      <c r="AF235" s="230"/>
      <c r="AG235" s="230"/>
      <c r="AH235" s="265"/>
      <c r="AI235" s="265"/>
    </row>
    <row r="236" spans="1:84" ht="15" hidden="1" thickTop="1" thickBot="1" x14ac:dyDescent="0.3">
      <c r="A236" s="313"/>
      <c r="B236" s="313"/>
      <c r="C236" s="313"/>
      <c r="D236" s="314"/>
      <c r="E236" s="314"/>
      <c r="F236" s="314"/>
      <c r="G236" s="314"/>
      <c r="H236" s="314"/>
      <c r="I236" s="314"/>
      <c r="J236" s="314"/>
      <c r="K236" s="314"/>
      <c r="L236" s="315"/>
      <c r="M236" s="314"/>
      <c r="N236" s="314"/>
      <c r="O236" s="317">
        <v>0.3</v>
      </c>
      <c r="P236" s="708"/>
      <c r="Q236" s="1585"/>
      <c r="R236" s="1077"/>
      <c r="S236" s="866"/>
      <c r="T236" s="866"/>
      <c r="U236" s="866"/>
      <c r="V236" s="866"/>
      <c r="W236" s="866"/>
      <c r="X236" s="866"/>
      <c r="Y236" s="866"/>
      <c r="Z236" s="866"/>
      <c r="AA236" s="866"/>
      <c r="AC236" s="230"/>
      <c r="AD236" s="265"/>
      <c r="AE236" s="265"/>
      <c r="AF236" s="230"/>
      <c r="AG236" s="230"/>
      <c r="AH236" s="265"/>
      <c r="AI236" s="265"/>
    </row>
    <row r="237" spans="1:84" s="867" customFormat="1" ht="15" hidden="1" thickTop="1" thickBot="1" x14ac:dyDescent="0.3">
      <c r="A237" s="313"/>
      <c r="B237" s="313"/>
      <c r="C237" s="313"/>
      <c r="D237" s="314"/>
      <c r="E237" s="314"/>
      <c r="F237" s="314"/>
      <c r="G237" s="314"/>
      <c r="H237" s="314"/>
      <c r="I237" s="314"/>
      <c r="J237" s="314"/>
      <c r="K237" s="314"/>
      <c r="L237" s="315"/>
      <c r="M237" s="314"/>
      <c r="N237" s="314"/>
      <c r="O237" s="317">
        <v>0.33500000000000002</v>
      </c>
      <c r="P237" s="708"/>
      <c r="Q237" s="1585"/>
      <c r="R237" s="1077"/>
      <c r="S237" s="866"/>
      <c r="T237" s="866"/>
      <c r="U237" s="866"/>
      <c r="V237" s="866"/>
      <c r="W237" s="866"/>
      <c r="X237" s="866"/>
      <c r="Y237" s="866"/>
      <c r="Z237" s="866"/>
      <c r="AA237" s="866"/>
      <c r="AC237" s="866"/>
      <c r="AD237" s="868"/>
      <c r="AE237" s="868"/>
      <c r="AF237" s="866"/>
      <c r="AG237" s="866"/>
      <c r="AH237" s="868"/>
      <c r="AI237" s="868"/>
      <c r="AT237" s="866"/>
      <c r="AU237" s="866"/>
      <c r="AV237" s="866"/>
      <c r="AW237" s="866"/>
      <c r="AX237" s="866"/>
      <c r="AY237" s="866"/>
      <c r="AZ237" s="866"/>
      <c r="BA237" s="866"/>
      <c r="BB237" s="866"/>
      <c r="BC237" s="866"/>
      <c r="BD237" s="866"/>
      <c r="BE237" s="866"/>
      <c r="BF237" s="866"/>
      <c r="BG237" s="869"/>
      <c r="BH237" s="869"/>
      <c r="BI237" s="869"/>
      <c r="BJ237" s="869"/>
      <c r="BK237" s="869"/>
      <c r="BL237" s="869"/>
      <c r="BM237" s="869"/>
      <c r="BN237" s="869"/>
      <c r="BO237" s="869"/>
      <c r="BP237" s="869"/>
      <c r="BQ237" s="869"/>
      <c r="BR237" s="869"/>
      <c r="BS237" s="869"/>
      <c r="BT237" s="869"/>
      <c r="BU237" s="869"/>
      <c r="BV237" s="869"/>
      <c r="BW237" s="869"/>
      <c r="BX237" s="869"/>
      <c r="BY237" s="869"/>
      <c r="BZ237" s="869"/>
      <c r="CA237" s="869"/>
      <c r="CB237" s="869"/>
      <c r="CC237" s="869"/>
      <c r="CD237" s="869"/>
      <c r="CE237" s="869"/>
      <c r="CF237" s="869"/>
    </row>
    <row r="238" spans="1:84" ht="15" hidden="1" thickTop="1" thickBot="1" x14ac:dyDescent="0.3">
      <c r="A238" s="313"/>
      <c r="B238" s="313"/>
      <c r="C238" s="313"/>
      <c r="D238" s="314"/>
      <c r="E238" s="314"/>
      <c r="F238" s="314"/>
      <c r="G238" s="314"/>
      <c r="H238" s="314"/>
      <c r="I238" s="314"/>
      <c r="J238" s="314"/>
      <c r="K238" s="314"/>
      <c r="L238" s="315"/>
      <c r="M238" s="314"/>
      <c r="N238" s="314"/>
      <c r="O238" s="317">
        <v>0.34</v>
      </c>
      <c r="P238" s="708"/>
      <c r="Q238" s="1585"/>
      <c r="R238" s="1077"/>
      <c r="S238" s="866"/>
      <c r="T238" s="866"/>
      <c r="U238" s="866"/>
      <c r="V238" s="866"/>
      <c r="W238" s="866"/>
      <c r="X238" s="866"/>
      <c r="Y238" s="866"/>
      <c r="Z238" s="866"/>
      <c r="AA238" s="866"/>
      <c r="AC238" s="230"/>
      <c r="AD238" s="265"/>
      <c r="AE238" s="265"/>
      <c r="AF238" s="230"/>
      <c r="AG238" s="230"/>
      <c r="AH238" s="265"/>
      <c r="AI238" s="265"/>
    </row>
    <row r="239" spans="1:84" ht="15" hidden="1" thickTop="1" thickBot="1" x14ac:dyDescent="0.3">
      <c r="A239" s="313"/>
      <c r="B239" s="313"/>
      <c r="C239" s="313"/>
      <c r="D239" s="314"/>
      <c r="E239" s="314"/>
      <c r="F239" s="314"/>
      <c r="G239" s="314"/>
      <c r="H239" s="314"/>
      <c r="I239" s="314"/>
      <c r="J239" s="314"/>
      <c r="K239" s="314"/>
      <c r="L239" s="315"/>
      <c r="M239" s="314"/>
      <c r="N239" s="314"/>
      <c r="O239" s="317">
        <v>0.35</v>
      </c>
      <c r="P239" s="708"/>
      <c r="Q239" s="1585"/>
      <c r="R239" s="1077"/>
      <c r="S239" s="866"/>
      <c r="T239" s="866"/>
      <c r="U239" s="866"/>
      <c r="V239" s="866"/>
      <c r="W239" s="866"/>
      <c r="X239" s="866"/>
      <c r="Y239" s="866"/>
      <c r="Z239" s="866"/>
      <c r="AA239" s="866"/>
      <c r="AC239" s="230"/>
      <c r="AD239" s="265"/>
      <c r="AE239" s="265"/>
      <c r="AF239" s="230"/>
      <c r="AG239" s="230"/>
      <c r="AH239" s="265"/>
      <c r="AI239" s="265"/>
    </row>
    <row r="240" spans="1:84" s="867" customFormat="1" ht="15" hidden="1" thickTop="1" thickBot="1" x14ac:dyDescent="0.3">
      <c r="A240" s="313"/>
      <c r="B240" s="313"/>
      <c r="C240" s="313"/>
      <c r="D240" s="314"/>
      <c r="E240" s="314"/>
      <c r="F240" s="314"/>
      <c r="G240" s="314"/>
      <c r="H240" s="314"/>
      <c r="I240" s="314"/>
      <c r="J240" s="314"/>
      <c r="K240" s="314"/>
      <c r="L240" s="315"/>
      <c r="M240" s="314"/>
      <c r="N240" s="314"/>
      <c r="O240" s="317">
        <v>0.376</v>
      </c>
      <c r="P240" s="708"/>
      <c r="Q240" s="1585"/>
      <c r="R240" s="1077"/>
      <c r="S240" s="866"/>
      <c r="T240" s="866"/>
      <c r="U240" s="866"/>
      <c r="V240" s="866"/>
      <c r="W240" s="866"/>
      <c r="X240" s="866"/>
      <c r="Y240" s="866"/>
      <c r="Z240" s="866"/>
      <c r="AA240" s="866"/>
      <c r="AC240" s="866"/>
      <c r="AD240" s="868"/>
      <c r="AE240" s="868"/>
      <c r="AF240" s="866"/>
      <c r="AG240" s="866"/>
      <c r="AH240" s="868"/>
      <c r="AI240" s="868"/>
      <c r="AT240" s="866"/>
      <c r="AU240" s="866"/>
      <c r="AV240" s="866"/>
      <c r="AW240" s="866"/>
      <c r="AX240" s="866"/>
      <c r="AY240" s="866"/>
      <c r="AZ240" s="866"/>
      <c r="BA240" s="866"/>
      <c r="BB240" s="866"/>
      <c r="BC240" s="866"/>
      <c r="BD240" s="866"/>
      <c r="BE240" s="866"/>
      <c r="BF240" s="866"/>
      <c r="BG240" s="869"/>
      <c r="BH240" s="869"/>
      <c r="BI240" s="869"/>
      <c r="BJ240" s="869"/>
      <c r="BK240" s="869"/>
      <c r="BL240" s="869"/>
      <c r="BM240" s="869"/>
      <c r="BN240" s="869"/>
      <c r="BO240" s="869"/>
      <c r="BP240" s="869"/>
      <c r="BQ240" s="869"/>
      <c r="BR240" s="869"/>
      <c r="BS240" s="869"/>
      <c r="BT240" s="869"/>
      <c r="BU240" s="869"/>
      <c r="BV240" s="869"/>
      <c r="BW240" s="869"/>
      <c r="BX240" s="869"/>
      <c r="BY240" s="869"/>
      <c r="BZ240" s="869"/>
      <c r="CA240" s="869"/>
      <c r="CB240" s="869"/>
      <c r="CC240" s="869"/>
      <c r="CD240" s="869"/>
      <c r="CE240" s="869"/>
      <c r="CF240" s="869"/>
    </row>
    <row r="241" spans="1:84" ht="15" hidden="1" thickTop="1" thickBot="1" x14ac:dyDescent="0.3">
      <c r="A241" s="313"/>
      <c r="B241" s="313"/>
      <c r="C241" s="313"/>
      <c r="D241" s="314"/>
      <c r="E241" s="314"/>
      <c r="F241" s="314"/>
      <c r="G241" s="314"/>
      <c r="H241" s="314"/>
      <c r="I241" s="314"/>
      <c r="J241" s="314"/>
      <c r="K241" s="314"/>
      <c r="L241" s="315"/>
      <c r="M241" s="314"/>
      <c r="N241" s="314"/>
      <c r="O241" s="317">
        <v>0.4</v>
      </c>
      <c r="P241" s="708"/>
      <c r="Q241" s="1585"/>
      <c r="R241" s="1077"/>
      <c r="S241" s="866"/>
      <c r="T241" s="866"/>
      <c r="U241" s="866"/>
      <c r="V241" s="866"/>
      <c r="W241" s="866"/>
      <c r="X241" s="866"/>
      <c r="Y241" s="866"/>
      <c r="Z241" s="866"/>
      <c r="AA241" s="866"/>
      <c r="AC241" s="230"/>
      <c r="AD241" s="265"/>
      <c r="AE241" s="265"/>
      <c r="AF241" s="230"/>
      <c r="AG241" s="230"/>
      <c r="AH241" s="265"/>
      <c r="AI241" s="265"/>
    </row>
    <row r="242" spans="1:84" ht="15" hidden="1" thickTop="1" thickBot="1" x14ac:dyDescent="0.3">
      <c r="A242" s="313"/>
      <c r="B242" s="313"/>
      <c r="C242" s="313"/>
      <c r="D242" s="314"/>
      <c r="E242" s="314"/>
      <c r="F242" s="314"/>
      <c r="G242" s="314"/>
      <c r="H242" s="314"/>
      <c r="I242" s="314"/>
      <c r="J242" s="314"/>
      <c r="K242" s="314"/>
      <c r="L242" s="315"/>
      <c r="M242" s="314"/>
      <c r="N242" s="314"/>
      <c r="O242" s="317">
        <v>0.41</v>
      </c>
      <c r="P242" s="708"/>
      <c r="Q242" s="1585"/>
      <c r="R242" s="1077"/>
      <c r="S242" s="866"/>
      <c r="T242" s="866"/>
      <c r="U242" s="866"/>
      <c r="V242" s="866"/>
      <c r="W242" s="866"/>
      <c r="X242" s="866"/>
      <c r="Y242" s="866"/>
      <c r="Z242" s="866"/>
      <c r="AA242" s="866"/>
      <c r="AC242" s="230"/>
      <c r="AD242" s="265"/>
      <c r="AE242" s="265"/>
      <c r="AF242" s="230"/>
      <c r="AG242" s="230"/>
      <c r="AH242" s="265"/>
      <c r="AI242" s="265"/>
    </row>
    <row r="243" spans="1:84" s="867" customFormat="1" ht="15" hidden="1" thickTop="1" thickBot="1" x14ac:dyDescent="0.3">
      <c r="A243" s="313"/>
      <c r="B243" s="313"/>
      <c r="C243" s="313"/>
      <c r="D243" s="314"/>
      <c r="E243" s="314"/>
      <c r="F243" s="314"/>
      <c r="G243" s="314"/>
      <c r="H243" s="314"/>
      <c r="I243" s="314"/>
      <c r="J243" s="314"/>
      <c r="K243" s="314"/>
      <c r="L243" s="315"/>
      <c r="M243" s="314"/>
      <c r="N243" s="314"/>
      <c r="O243" s="317">
        <v>0.69</v>
      </c>
      <c r="P243" s="708"/>
      <c r="Q243" s="1585"/>
      <c r="R243" s="1077"/>
      <c r="S243" s="866"/>
      <c r="T243" s="866"/>
      <c r="U243" s="866"/>
      <c r="V243" s="866"/>
      <c r="W243" s="866"/>
      <c r="X243" s="866"/>
      <c r="Y243" s="866"/>
      <c r="Z243" s="866"/>
      <c r="AA243" s="866"/>
      <c r="AC243" s="866"/>
      <c r="AD243" s="868"/>
      <c r="AE243" s="868"/>
      <c r="AF243" s="866"/>
      <c r="AG243" s="866"/>
      <c r="AH243" s="868"/>
      <c r="AI243" s="868"/>
      <c r="AT243" s="866"/>
      <c r="AU243" s="866"/>
      <c r="AV243" s="866"/>
      <c r="AW243" s="866"/>
      <c r="AX243" s="866"/>
      <c r="AY243" s="866"/>
      <c r="AZ243" s="866"/>
      <c r="BA243" s="866"/>
      <c r="BB243" s="866"/>
      <c r="BC243" s="866"/>
      <c r="BD243" s="866"/>
      <c r="BE243" s="866"/>
      <c r="BF243" s="866"/>
      <c r="BG243" s="869"/>
      <c r="BH243" s="869"/>
      <c r="BI243" s="869"/>
      <c r="BJ243" s="869"/>
      <c r="BK243" s="869"/>
      <c r="BL243" s="869"/>
      <c r="BM243" s="869"/>
      <c r="BN243" s="869"/>
      <c r="BO243" s="869"/>
      <c r="BP243" s="869"/>
      <c r="BQ243" s="869"/>
      <c r="BR243" s="869"/>
      <c r="BS243" s="869"/>
      <c r="BT243" s="869"/>
      <c r="BU243" s="869"/>
      <c r="BV243" s="869"/>
      <c r="BW243" s="869"/>
      <c r="BX243" s="869"/>
      <c r="BY243" s="869"/>
      <c r="BZ243" s="869"/>
      <c r="CA243" s="869"/>
      <c r="CB243" s="869"/>
      <c r="CC243" s="869"/>
      <c r="CD243" s="869"/>
      <c r="CE243" s="869"/>
      <c r="CF243" s="869"/>
    </row>
    <row r="244" spans="1:84" ht="15" hidden="1" thickTop="1" thickBot="1" x14ac:dyDescent="0.3">
      <c r="A244" s="313"/>
      <c r="B244" s="313"/>
      <c r="C244" s="313"/>
      <c r="D244" s="314"/>
      <c r="E244" s="314"/>
      <c r="F244" s="314"/>
      <c r="G244" s="314"/>
      <c r="H244" s="314"/>
      <c r="I244" s="314"/>
      <c r="J244" s="314"/>
      <c r="K244" s="314"/>
      <c r="L244" s="315"/>
      <c r="M244" s="314"/>
      <c r="N244" s="314"/>
      <c r="O244" s="318">
        <v>0.69499999999999995</v>
      </c>
      <c r="P244" s="708"/>
      <c r="Q244" s="1585"/>
      <c r="R244" s="1077"/>
      <c r="S244" s="866"/>
      <c r="T244" s="866"/>
      <c r="U244" s="866"/>
      <c r="V244" s="866"/>
      <c r="W244" s="866"/>
      <c r="X244" s="866"/>
      <c r="Y244" s="866"/>
      <c r="Z244" s="866"/>
      <c r="AA244" s="866"/>
      <c r="AC244" s="230"/>
      <c r="AD244" s="265"/>
      <c r="AE244" s="265"/>
      <c r="AF244" s="230"/>
      <c r="AG244" s="230"/>
      <c r="AH244" s="265"/>
      <c r="AI244" s="265"/>
    </row>
    <row r="245" spans="1:84" ht="20.25" customHeight="1" thickTop="1" thickBot="1" x14ac:dyDescent="0.3">
      <c r="A245" s="1236" t="s">
        <v>123</v>
      </c>
      <c r="B245" s="322"/>
      <c r="C245" s="322"/>
      <c r="D245" s="322"/>
      <c r="E245" s="322"/>
      <c r="F245" s="322"/>
      <c r="G245" s="322"/>
      <c r="H245" s="322"/>
      <c r="I245" s="322"/>
      <c r="J245" s="322"/>
      <c r="K245" s="322"/>
      <c r="L245" s="323"/>
      <c r="M245" s="322"/>
      <c r="N245" s="320"/>
      <c r="O245" s="1096"/>
      <c r="P245" s="708"/>
      <c r="Q245" s="1585"/>
      <c r="R245" s="1077"/>
      <c r="S245" s="866"/>
      <c r="T245" s="866"/>
      <c r="U245" s="866"/>
      <c r="V245" s="866"/>
      <c r="W245" s="866"/>
      <c r="X245" s="866"/>
      <c r="Y245" s="866"/>
      <c r="Z245" s="866"/>
      <c r="AA245" s="866"/>
      <c r="AC245" s="230"/>
      <c r="AD245" s="265"/>
      <c r="AE245" s="265"/>
      <c r="AF245" s="230"/>
      <c r="AG245" s="230"/>
      <c r="AH245" s="265"/>
      <c r="AI245" s="265"/>
    </row>
    <row r="246" spans="1:84" ht="16.5" customHeight="1" thickTop="1" thickBot="1" x14ac:dyDescent="0.3">
      <c r="A246" s="1151"/>
      <c r="B246" s="1151"/>
      <c r="C246" s="1151"/>
      <c r="D246" s="1151"/>
      <c r="E246" s="1151"/>
      <c r="F246" s="1151"/>
      <c r="G246" s="1151"/>
      <c r="H246" s="1151"/>
      <c r="I246" s="1151"/>
      <c r="J246" s="1151"/>
      <c r="K246" s="1151"/>
      <c r="L246" s="1237"/>
      <c r="M246" s="1151"/>
      <c r="N246" s="1151"/>
      <c r="O246" s="24"/>
      <c r="P246" s="708"/>
      <c r="Q246" s="1585"/>
      <c r="R246" s="1077"/>
      <c r="S246" s="866"/>
      <c r="T246" s="866"/>
      <c r="U246" s="866"/>
      <c r="V246" s="866"/>
      <c r="W246" s="866"/>
      <c r="X246" s="866"/>
      <c r="Y246" s="866"/>
      <c r="Z246" s="866"/>
      <c r="AA246" s="866"/>
      <c r="AC246" s="230"/>
      <c r="AD246" s="265"/>
      <c r="AE246" s="265"/>
      <c r="AF246" s="230"/>
      <c r="AG246" s="230"/>
      <c r="AH246" s="265"/>
      <c r="AI246" s="265"/>
    </row>
    <row r="247" spans="1:84" ht="16.5" customHeight="1" thickTop="1" thickBot="1" x14ac:dyDescent="0.3">
      <c r="A247" s="1093" t="s">
        <v>538</v>
      </c>
      <c r="B247" s="438"/>
      <c r="C247" s="438"/>
      <c r="D247" s="438"/>
      <c r="E247" s="438"/>
      <c r="F247" s="438"/>
      <c r="G247" s="438"/>
      <c r="H247" s="438"/>
      <c r="I247" s="438"/>
      <c r="J247" s="438"/>
      <c r="K247" s="438"/>
      <c r="L247" s="321" t="s">
        <v>60</v>
      </c>
      <c r="M247" s="438"/>
      <c r="N247" s="438"/>
      <c r="O247" s="1048" t="s">
        <v>149</v>
      </c>
      <c r="P247" s="708"/>
      <c r="Q247" s="1585"/>
      <c r="R247" s="1077"/>
      <c r="S247" s="866"/>
      <c r="T247" s="866"/>
      <c r="U247" s="866"/>
      <c r="V247" s="866"/>
      <c r="W247" s="866"/>
      <c r="X247" s="866"/>
      <c r="Y247" s="866"/>
      <c r="Z247" s="866"/>
      <c r="AA247" s="866"/>
      <c r="AC247" s="230"/>
      <c r="AD247" s="265"/>
      <c r="AE247" s="265"/>
      <c r="AF247" s="230"/>
      <c r="AG247" s="230"/>
      <c r="AH247" s="265"/>
      <c r="AI247" s="265"/>
    </row>
    <row r="248" spans="1:84" ht="16.5" customHeight="1" thickTop="1" x14ac:dyDescent="0.25">
      <c r="A248" s="1093" t="s">
        <v>588</v>
      </c>
      <c r="B248" s="438"/>
      <c r="C248" s="438"/>
      <c r="D248" s="438"/>
      <c r="E248" s="438"/>
      <c r="F248" s="438"/>
      <c r="G248" s="438"/>
      <c r="H248" s="438"/>
      <c r="I248" s="438"/>
      <c r="J248" s="438"/>
      <c r="K248" s="438"/>
      <c r="L248" s="439"/>
      <c r="M248" s="438"/>
      <c r="N248" s="438"/>
      <c r="O248" s="1049" t="s">
        <v>150</v>
      </c>
      <c r="P248" s="708"/>
      <c r="Q248" s="1585"/>
      <c r="R248" s="1077"/>
      <c r="S248" s="866"/>
      <c r="T248" s="866"/>
      <c r="U248" s="866"/>
      <c r="V248" s="866"/>
      <c r="W248" s="866"/>
      <c r="X248" s="866"/>
      <c r="Y248" s="866"/>
      <c r="Z248" s="866"/>
      <c r="AA248" s="866"/>
      <c r="AC248" s="230"/>
      <c r="AD248" s="265"/>
      <c r="AE248" s="265"/>
      <c r="AF248" s="230"/>
      <c r="AG248" s="230"/>
      <c r="AH248" s="265"/>
      <c r="AI248" s="265"/>
    </row>
    <row r="249" spans="1:84" ht="16.5" customHeight="1" x14ac:dyDescent="0.25">
      <c r="A249" s="1093" t="s">
        <v>146</v>
      </c>
      <c r="B249" s="438"/>
      <c r="C249" s="438"/>
      <c r="D249" s="438"/>
      <c r="E249" s="438"/>
      <c r="F249" s="438"/>
      <c r="G249" s="438"/>
      <c r="H249" s="438"/>
      <c r="I249" s="438"/>
      <c r="J249" s="438"/>
      <c r="K249" s="438"/>
      <c r="L249" s="439"/>
      <c r="M249" s="438"/>
      <c r="N249" s="438"/>
      <c r="O249" s="320"/>
      <c r="P249" s="708"/>
      <c r="Q249" s="1585"/>
      <c r="R249" s="1077"/>
      <c r="S249" s="866"/>
      <c r="T249" s="866"/>
      <c r="U249" s="866"/>
      <c r="V249" s="866"/>
      <c r="W249" s="866"/>
      <c r="X249" s="866"/>
      <c r="Y249" s="866"/>
      <c r="Z249" s="866"/>
      <c r="AA249" s="866"/>
      <c r="AC249" s="230"/>
      <c r="AD249" s="265"/>
      <c r="AE249" s="265"/>
      <c r="AF249" s="230"/>
      <c r="AG249" s="230"/>
      <c r="AH249" s="265"/>
      <c r="AI249" s="265"/>
    </row>
    <row r="250" spans="1:84" ht="16.5" customHeight="1" x14ac:dyDescent="0.25">
      <c r="A250" s="1093" t="s">
        <v>594</v>
      </c>
      <c r="B250" s="438"/>
      <c r="C250" s="438"/>
      <c r="D250" s="438"/>
      <c r="E250" s="438"/>
      <c r="F250" s="438"/>
      <c r="G250" s="438"/>
      <c r="H250" s="438"/>
      <c r="I250" s="438"/>
      <c r="J250" s="438"/>
      <c r="K250" s="438"/>
      <c r="L250" s="439"/>
      <c r="M250" s="438"/>
      <c r="N250" s="438"/>
      <c r="O250" s="320"/>
      <c r="P250" s="708"/>
      <c r="Q250" s="1585"/>
      <c r="R250" s="1077"/>
      <c r="S250" s="866"/>
      <c r="T250" s="866"/>
      <c r="U250" s="866"/>
      <c r="V250" s="866"/>
      <c r="W250" s="866"/>
      <c r="X250" s="866"/>
      <c r="Y250" s="866"/>
      <c r="Z250" s="866"/>
      <c r="AA250" s="866"/>
      <c r="AC250" s="230"/>
      <c r="AD250" s="265"/>
      <c r="AE250" s="265"/>
      <c r="AF250" s="230"/>
      <c r="AG250" s="230"/>
      <c r="AH250" s="265"/>
      <c r="AI250" s="265"/>
    </row>
    <row r="251" spans="1:84" ht="16.5" customHeight="1" x14ac:dyDescent="0.25">
      <c r="A251" s="1093" t="s">
        <v>595</v>
      </c>
      <c r="B251" s="438"/>
      <c r="C251" s="438"/>
      <c r="D251" s="438"/>
      <c r="E251" s="438"/>
      <c r="F251" s="438"/>
      <c r="G251" s="438"/>
      <c r="H251" s="438"/>
      <c r="I251" s="438"/>
      <c r="J251" s="438"/>
      <c r="K251" s="438"/>
      <c r="L251" s="439"/>
      <c r="M251" s="438"/>
      <c r="N251" s="438"/>
      <c r="O251" s="320"/>
      <c r="P251" s="708"/>
      <c r="Q251" s="1585"/>
      <c r="R251" s="1077"/>
      <c r="S251" s="866"/>
      <c r="T251" s="866"/>
      <c r="U251" s="866"/>
      <c r="V251" s="866"/>
      <c r="W251" s="866"/>
      <c r="X251" s="866"/>
      <c r="Y251" s="866"/>
      <c r="Z251" s="866"/>
      <c r="AA251" s="866"/>
      <c r="AC251" s="230"/>
      <c r="AD251" s="265"/>
      <c r="AE251" s="265"/>
      <c r="AF251" s="230"/>
      <c r="AG251" s="230"/>
      <c r="AH251" s="265"/>
      <c r="AI251" s="265"/>
    </row>
    <row r="252" spans="1:84" s="867" customFormat="1" ht="16.5" customHeight="1" x14ac:dyDescent="0.25">
      <c r="A252" s="1093"/>
      <c r="B252" s="438"/>
      <c r="C252" s="438"/>
      <c r="D252" s="438"/>
      <c r="E252" s="438"/>
      <c r="F252" s="438"/>
      <c r="G252" s="438"/>
      <c r="H252" s="438"/>
      <c r="I252" s="438"/>
      <c r="J252" s="438"/>
      <c r="K252" s="438"/>
      <c r="L252" s="439"/>
      <c r="M252" s="438"/>
      <c r="N252" s="438"/>
      <c r="O252" s="320"/>
      <c r="P252" s="708"/>
      <c r="Q252" s="1585"/>
      <c r="R252" s="1077"/>
      <c r="S252" s="866"/>
      <c r="T252" s="866"/>
      <c r="U252" s="866"/>
      <c r="V252" s="866"/>
      <c r="W252" s="866"/>
      <c r="X252" s="866"/>
      <c r="Y252" s="866"/>
      <c r="Z252" s="866"/>
      <c r="AA252" s="866"/>
      <c r="AC252" s="866"/>
      <c r="AD252" s="868"/>
      <c r="AE252" s="868"/>
      <c r="AF252" s="866"/>
      <c r="AG252" s="866"/>
      <c r="AH252" s="868"/>
      <c r="AI252" s="868"/>
      <c r="AT252" s="866"/>
      <c r="AU252" s="866"/>
      <c r="AV252" s="866"/>
      <c r="AW252" s="866"/>
      <c r="AX252" s="866"/>
      <c r="AY252" s="866"/>
      <c r="AZ252" s="866"/>
      <c r="BA252" s="866"/>
      <c r="BB252" s="866"/>
      <c r="BC252" s="866"/>
      <c r="BD252" s="866"/>
      <c r="BE252" s="866"/>
      <c r="BF252" s="866"/>
      <c r="BG252" s="869"/>
      <c r="BH252" s="869"/>
      <c r="BI252" s="869"/>
      <c r="BJ252" s="869"/>
      <c r="BK252" s="869"/>
      <c r="BL252" s="869"/>
      <c r="BM252" s="869"/>
      <c r="BN252" s="869"/>
      <c r="BO252" s="869"/>
      <c r="BP252" s="869"/>
      <c r="BQ252" s="869"/>
      <c r="BR252" s="869"/>
      <c r="BS252" s="869"/>
      <c r="BT252" s="869"/>
      <c r="BU252" s="869"/>
      <c r="BV252" s="869"/>
      <c r="BW252" s="869"/>
      <c r="BX252" s="869"/>
      <c r="BY252" s="869"/>
      <c r="BZ252" s="869"/>
      <c r="CA252" s="869"/>
      <c r="CB252" s="869"/>
      <c r="CC252" s="869"/>
      <c r="CD252" s="869"/>
      <c r="CE252" s="869"/>
      <c r="CF252" s="869"/>
    </row>
    <row r="253" spans="1:84" s="867" customFormat="1" ht="16.5" customHeight="1" x14ac:dyDescent="0.25">
      <c r="A253" s="1238"/>
      <c r="B253" s="1238"/>
      <c r="C253" s="1238"/>
      <c r="D253" s="1238"/>
      <c r="E253" s="1238"/>
      <c r="F253" s="1238"/>
      <c r="G253" s="1238"/>
      <c r="H253" s="1238"/>
      <c r="I253" s="1238"/>
      <c r="J253" s="1238"/>
      <c r="K253" s="1238"/>
      <c r="L253" s="1239"/>
      <c r="M253" s="443"/>
      <c r="N253" s="443"/>
      <c r="O253" s="328"/>
      <c r="P253" s="708"/>
      <c r="Q253" s="1585"/>
      <c r="R253" s="1077"/>
      <c r="S253" s="866"/>
      <c r="T253" s="866"/>
      <c r="U253" s="866"/>
      <c r="V253" s="866"/>
      <c r="W253" s="866"/>
      <c r="X253" s="866"/>
      <c r="Y253" s="866"/>
      <c r="Z253" s="866"/>
      <c r="AA253" s="866"/>
      <c r="AC253" s="866"/>
      <c r="AD253" s="868"/>
      <c r="AE253" s="868"/>
      <c r="AF253" s="866"/>
      <c r="AG253" s="866"/>
      <c r="AH253" s="868"/>
      <c r="AI253" s="868"/>
      <c r="AT253" s="866"/>
      <c r="AU253" s="866"/>
      <c r="AV253" s="866"/>
      <c r="AW253" s="866"/>
      <c r="AX253" s="866"/>
      <c r="AY253" s="866"/>
      <c r="AZ253" s="866"/>
      <c r="BA253" s="866"/>
      <c r="BB253" s="866"/>
      <c r="BC253" s="866"/>
      <c r="BD253" s="866"/>
      <c r="BE253" s="866"/>
      <c r="BF253" s="866"/>
      <c r="BG253" s="869"/>
      <c r="BH253" s="869"/>
      <c r="BI253" s="869"/>
      <c r="BJ253" s="869"/>
      <c r="BK253" s="869"/>
      <c r="BL253" s="869"/>
      <c r="BM253" s="869"/>
      <c r="BN253" s="869"/>
      <c r="BO253" s="869"/>
      <c r="BP253" s="869"/>
      <c r="BQ253" s="869"/>
      <c r="BR253" s="869"/>
      <c r="BS253" s="869"/>
      <c r="BT253" s="869"/>
      <c r="BU253" s="869"/>
      <c r="BV253" s="869"/>
      <c r="BW253" s="869"/>
      <c r="BX253" s="869"/>
      <c r="BY253" s="869"/>
      <c r="BZ253" s="869"/>
      <c r="CA253" s="869"/>
      <c r="CB253" s="869"/>
      <c r="CC253" s="869"/>
      <c r="CD253" s="869"/>
      <c r="CE253" s="869"/>
      <c r="CF253" s="869"/>
    </row>
    <row r="254" spans="1:84" ht="14.4" x14ac:dyDescent="0.25">
      <c r="A254" s="897" t="s">
        <v>519</v>
      </c>
      <c r="B254" s="883"/>
      <c r="C254" s="883"/>
      <c r="D254" s="884"/>
      <c r="E254" s="884"/>
      <c r="F254" s="884"/>
      <c r="G254" s="884"/>
      <c r="H254" s="884"/>
      <c r="I254" s="884"/>
      <c r="J254" s="884"/>
      <c r="K254" s="884"/>
      <c r="L254" s="884"/>
      <c r="M254" s="884"/>
      <c r="N254" s="884"/>
      <c r="O254" s="884"/>
      <c r="P254" s="1607"/>
      <c r="Q254" s="1608"/>
      <c r="R254" s="1077"/>
      <c r="S254" s="866"/>
      <c r="T254" s="866"/>
      <c r="U254" s="866"/>
      <c r="V254" s="866"/>
      <c r="W254" s="866"/>
      <c r="X254" s="866"/>
      <c r="Y254" s="866"/>
      <c r="Z254" s="866"/>
      <c r="AA254" s="866"/>
      <c r="AC254" s="230"/>
      <c r="AD254" s="265"/>
      <c r="AE254" s="265"/>
      <c r="AF254" s="230"/>
      <c r="AG254" s="230"/>
      <c r="AH254" s="265"/>
      <c r="AI254" s="265"/>
    </row>
    <row r="255" spans="1:84" ht="14.4" thickBot="1" x14ac:dyDescent="0.3">
      <c r="A255" s="473"/>
      <c r="B255" s="474"/>
      <c r="C255" s="858"/>
      <c r="D255" s="475"/>
      <c r="E255" s="475"/>
      <c r="F255" s="859"/>
      <c r="G255" s="475"/>
      <c r="H255" s="475"/>
      <c r="I255" s="475"/>
      <c r="J255" s="859"/>
      <c r="K255" s="859"/>
      <c r="L255" s="475"/>
      <c r="M255" s="475"/>
      <c r="N255" s="475"/>
      <c r="O255" s="475"/>
      <c r="P255" s="1607"/>
      <c r="Q255" s="1608"/>
      <c r="R255" s="1077"/>
      <c r="S255" s="866"/>
      <c r="T255" s="866"/>
      <c r="U255" s="866"/>
      <c r="V255" s="866"/>
      <c r="W255" s="866"/>
      <c r="X255" s="866"/>
      <c r="Y255" s="866"/>
      <c r="Z255" s="866"/>
      <c r="AA255" s="866"/>
      <c r="AC255" s="230"/>
      <c r="AD255" s="265"/>
      <c r="AE255" s="265"/>
      <c r="AF255" s="230"/>
      <c r="AG255" s="230"/>
      <c r="AH255" s="265"/>
      <c r="AI255" s="265"/>
    </row>
    <row r="256" spans="1:84" hidden="1" x14ac:dyDescent="0.25">
      <c r="A256" s="65"/>
      <c r="B256" s="65"/>
      <c r="C256" s="65"/>
      <c r="D256" s="76"/>
      <c r="E256" s="76"/>
      <c r="F256" s="880"/>
      <c r="G256" s="76"/>
      <c r="H256" s="76"/>
      <c r="I256" s="76"/>
      <c r="J256" s="880"/>
      <c r="K256" s="880"/>
      <c r="L256" s="76"/>
      <c r="M256" s="76"/>
      <c r="N256" s="76"/>
      <c r="O256" s="880"/>
      <c r="P256" s="127"/>
      <c r="Q256" s="1609"/>
      <c r="AC256" s="230"/>
      <c r="AD256" s="265"/>
      <c r="AE256" s="265"/>
      <c r="AF256" s="230"/>
      <c r="AG256" s="230"/>
      <c r="AH256" s="265"/>
      <c r="AI256" s="265"/>
    </row>
    <row r="257" spans="1:35" hidden="1" x14ac:dyDescent="0.25">
      <c r="A257" s="72" t="s">
        <v>63</v>
      </c>
      <c r="B257" s="881"/>
      <c r="C257" s="881"/>
      <c r="D257" s="76"/>
      <c r="E257" s="79" t="s">
        <v>64</v>
      </c>
      <c r="F257" s="79"/>
      <c r="G257" s="76"/>
      <c r="H257" s="76"/>
      <c r="I257" s="76"/>
      <c r="J257" s="880"/>
      <c r="K257" s="880"/>
      <c r="L257" s="76"/>
      <c r="M257" s="80" t="s">
        <v>286</v>
      </c>
      <c r="N257" s="76"/>
      <c r="O257" s="880"/>
      <c r="P257" s="127"/>
      <c r="Q257" s="1609"/>
      <c r="AC257" s="230"/>
      <c r="AD257" s="265"/>
      <c r="AE257" s="265"/>
      <c r="AF257" s="230"/>
      <c r="AG257" s="230"/>
      <c r="AH257" s="265"/>
      <c r="AI257" s="265"/>
    </row>
    <row r="258" spans="1:35" hidden="1" x14ac:dyDescent="0.25">
      <c r="A258" s="74" t="s">
        <v>59</v>
      </c>
      <c r="B258" s="881"/>
      <c r="C258" s="881"/>
      <c r="D258" s="76"/>
      <c r="E258" s="84">
        <v>0</v>
      </c>
      <c r="F258" s="84"/>
      <c r="G258" s="76"/>
      <c r="H258" s="76"/>
      <c r="I258" s="76"/>
      <c r="J258" s="880"/>
      <c r="K258" s="880"/>
      <c r="L258" s="76"/>
      <c r="M258" s="71" t="s">
        <v>60</v>
      </c>
      <c r="N258" s="76"/>
      <c r="O258" s="880"/>
      <c r="P258" s="127"/>
      <c r="Q258" s="1609"/>
      <c r="AC258" s="230"/>
      <c r="AD258" s="265"/>
      <c r="AE258" s="265"/>
      <c r="AF258" s="230"/>
      <c r="AG258" s="230"/>
      <c r="AH258" s="265"/>
      <c r="AI258" s="265"/>
    </row>
    <row r="259" spans="1:35" hidden="1" x14ac:dyDescent="0.25">
      <c r="A259" s="74" t="s">
        <v>60</v>
      </c>
      <c r="B259" s="881"/>
      <c r="C259" s="881"/>
      <c r="D259" s="76"/>
      <c r="E259" s="87">
        <v>25000</v>
      </c>
      <c r="F259" s="87"/>
      <c r="G259" s="76"/>
      <c r="H259" s="76"/>
      <c r="I259" s="76"/>
      <c r="J259" s="880"/>
      <c r="K259" s="880"/>
      <c r="L259" s="76"/>
      <c r="M259" s="71" t="s">
        <v>59</v>
      </c>
      <c r="N259" s="76"/>
      <c r="O259" s="880"/>
      <c r="P259" s="127"/>
      <c r="Q259" s="1609"/>
      <c r="AC259" s="230"/>
      <c r="AD259" s="265"/>
      <c r="AE259" s="265"/>
      <c r="AF259" s="230"/>
      <c r="AG259" s="230"/>
      <c r="AH259" s="265"/>
      <c r="AI259" s="265"/>
    </row>
    <row r="260" spans="1:35" hidden="1" x14ac:dyDescent="0.25">
      <c r="A260" s="76"/>
      <c r="B260" s="76"/>
      <c r="C260" s="880"/>
      <c r="D260" s="76"/>
      <c r="E260" s="87">
        <v>50000</v>
      </c>
      <c r="F260" s="87"/>
      <c r="G260" s="70"/>
      <c r="H260" s="70"/>
      <c r="I260" s="70"/>
      <c r="J260" s="70"/>
      <c r="K260" s="70"/>
      <c r="L260" s="76"/>
      <c r="M260" s="76"/>
      <c r="N260" s="76"/>
      <c r="O260" s="880"/>
      <c r="P260" s="127"/>
      <c r="Q260" s="1609"/>
      <c r="AC260" s="230"/>
      <c r="AD260" s="265"/>
      <c r="AE260" s="265"/>
      <c r="AF260" s="230"/>
      <c r="AG260" s="230"/>
      <c r="AH260" s="265"/>
      <c r="AI260" s="265"/>
    </row>
    <row r="261" spans="1:35" hidden="1" x14ac:dyDescent="0.25">
      <c r="A261" s="880"/>
      <c r="B261" s="76"/>
      <c r="C261" s="880"/>
      <c r="D261" s="76"/>
      <c r="E261" s="87">
        <v>75000</v>
      </c>
      <c r="F261" s="87"/>
      <c r="G261" s="70"/>
      <c r="H261" s="70"/>
      <c r="I261" s="70"/>
      <c r="J261" s="70"/>
      <c r="K261" s="70"/>
      <c r="L261" s="76"/>
      <c r="M261" s="76"/>
      <c r="N261" s="76"/>
      <c r="O261" s="880"/>
      <c r="P261" s="127"/>
      <c r="Q261" s="1609"/>
      <c r="AC261" s="230"/>
      <c r="AD261" s="265"/>
      <c r="AE261" s="265"/>
      <c r="AF261" s="230"/>
      <c r="AG261" s="230"/>
      <c r="AH261" s="265"/>
      <c r="AI261" s="265"/>
    </row>
    <row r="262" spans="1:35" hidden="1" x14ac:dyDescent="0.25">
      <c r="A262" s="880"/>
      <c r="B262" s="76"/>
      <c r="C262" s="880"/>
      <c r="D262" s="76"/>
      <c r="E262" s="87">
        <v>100000</v>
      </c>
      <c r="F262" s="87"/>
      <c r="G262" s="70"/>
      <c r="H262" s="70"/>
      <c r="I262" s="70"/>
      <c r="J262" s="70"/>
      <c r="K262" s="70"/>
      <c r="L262" s="76"/>
      <c r="M262" s="76"/>
      <c r="N262" s="76"/>
      <c r="O262" s="880"/>
      <c r="P262" s="127"/>
      <c r="Q262" s="1609"/>
      <c r="AC262" s="230"/>
      <c r="AD262" s="265"/>
      <c r="AE262" s="265"/>
      <c r="AF262" s="230"/>
      <c r="AG262" s="230"/>
      <c r="AH262" s="265"/>
      <c r="AI262" s="265"/>
    </row>
    <row r="263" spans="1:35" hidden="1" x14ac:dyDescent="0.25">
      <c r="A263" s="880"/>
      <c r="B263" s="76"/>
      <c r="C263" s="880"/>
      <c r="D263" s="76"/>
      <c r="E263" s="87">
        <v>125000</v>
      </c>
      <c r="F263" s="87"/>
      <c r="G263" s="70"/>
      <c r="H263" s="70"/>
      <c r="I263" s="70"/>
      <c r="J263" s="70"/>
      <c r="K263" s="70"/>
      <c r="L263" s="76"/>
      <c r="M263" s="76"/>
      <c r="N263" s="76"/>
      <c r="O263" s="76"/>
      <c r="P263" s="127"/>
      <c r="Q263" s="1609"/>
      <c r="AC263" s="230"/>
      <c r="AD263" s="265"/>
      <c r="AE263" s="265"/>
      <c r="AF263" s="230"/>
      <c r="AG263" s="230"/>
      <c r="AH263" s="265"/>
      <c r="AI263" s="265"/>
    </row>
    <row r="264" spans="1:35" hidden="1" x14ac:dyDescent="0.25">
      <c r="A264" s="65"/>
      <c r="B264" s="76"/>
      <c r="C264" s="880"/>
      <c r="D264" s="76"/>
      <c r="E264" s="87">
        <v>150000</v>
      </c>
      <c r="F264" s="87"/>
      <c r="G264" s="70"/>
      <c r="H264" s="70"/>
      <c r="I264" s="70"/>
      <c r="J264" s="70"/>
      <c r="K264" s="70"/>
      <c r="L264" s="76"/>
      <c r="M264" s="76"/>
      <c r="N264" s="76"/>
      <c r="O264" s="76"/>
      <c r="P264" s="127"/>
      <c r="Q264" s="1609"/>
      <c r="AC264" s="230"/>
      <c r="AD264" s="265"/>
      <c r="AE264" s="265"/>
      <c r="AF264" s="230"/>
      <c r="AG264" s="230"/>
      <c r="AH264" s="265"/>
      <c r="AI264" s="265"/>
    </row>
    <row r="265" spans="1:35" hidden="1" x14ac:dyDescent="0.25">
      <c r="A265" s="76"/>
      <c r="B265" s="76"/>
      <c r="C265" s="880"/>
      <c r="D265" s="76"/>
      <c r="E265" s="87">
        <v>175000</v>
      </c>
      <c r="F265" s="87"/>
      <c r="G265" s="70"/>
      <c r="H265" s="70"/>
      <c r="I265" s="70"/>
      <c r="J265" s="70"/>
      <c r="K265" s="70"/>
      <c r="L265" s="76"/>
      <c r="M265" s="76"/>
      <c r="N265" s="76"/>
      <c r="O265" s="76"/>
      <c r="P265" s="127"/>
      <c r="Q265" s="1609"/>
      <c r="AC265" s="230"/>
      <c r="AD265" s="265"/>
      <c r="AE265" s="265"/>
      <c r="AF265" s="230"/>
      <c r="AG265" s="230"/>
      <c r="AH265" s="265"/>
      <c r="AI265" s="265"/>
    </row>
    <row r="266" spans="1:35" hidden="1" x14ac:dyDescent="0.25">
      <c r="A266" s="76"/>
      <c r="B266" s="76"/>
      <c r="C266" s="880"/>
      <c r="D266" s="76"/>
      <c r="E266" s="87">
        <v>200000</v>
      </c>
      <c r="F266" s="87"/>
      <c r="G266" s="70"/>
      <c r="H266" s="70"/>
      <c r="I266" s="70"/>
      <c r="J266" s="70"/>
      <c r="K266" s="70"/>
      <c r="L266" s="76"/>
      <c r="M266" s="76"/>
      <c r="N266" s="76"/>
      <c r="O266" s="76"/>
      <c r="P266" s="127"/>
      <c r="Q266" s="1609"/>
      <c r="AC266" s="230"/>
      <c r="AD266" s="265"/>
      <c r="AE266" s="265"/>
      <c r="AF266" s="230"/>
      <c r="AG266" s="230"/>
      <c r="AH266" s="265"/>
      <c r="AI266" s="265"/>
    </row>
    <row r="267" spans="1:35" hidden="1" x14ac:dyDescent="0.25">
      <c r="A267" s="76"/>
      <c r="B267" s="76"/>
      <c r="C267" s="880"/>
      <c r="D267" s="76"/>
      <c r="E267" s="87">
        <v>225000</v>
      </c>
      <c r="F267" s="87"/>
      <c r="G267" s="70"/>
      <c r="H267" s="70"/>
      <c r="I267" s="70"/>
      <c r="J267" s="70"/>
      <c r="K267" s="70"/>
      <c r="L267" s="76"/>
      <c r="M267" s="76"/>
      <c r="N267" s="76"/>
      <c r="O267" s="76"/>
      <c r="P267" s="127"/>
      <c r="Q267" s="1609"/>
      <c r="AC267" s="230"/>
      <c r="AD267" s="265"/>
      <c r="AE267" s="265"/>
      <c r="AF267" s="230"/>
      <c r="AG267" s="230"/>
      <c r="AH267" s="265"/>
      <c r="AI267" s="265"/>
    </row>
    <row r="268" spans="1:35" hidden="1" x14ac:dyDescent="0.25">
      <c r="A268" s="76"/>
      <c r="B268" s="76"/>
      <c r="C268" s="880"/>
      <c r="D268" s="76"/>
      <c r="E268" s="87">
        <v>250000</v>
      </c>
      <c r="F268" s="87"/>
      <c r="G268" s="70"/>
      <c r="H268" s="70"/>
      <c r="I268" s="70"/>
      <c r="J268" s="70"/>
      <c r="K268" s="70"/>
      <c r="L268" s="76"/>
      <c r="M268" s="76"/>
      <c r="N268" s="76"/>
      <c r="O268" s="76"/>
      <c r="P268" s="127"/>
      <c r="Q268" s="1609"/>
      <c r="AC268" s="230"/>
      <c r="AD268" s="265"/>
      <c r="AE268" s="265"/>
      <c r="AF268" s="230"/>
      <c r="AG268" s="230"/>
      <c r="AH268" s="265"/>
      <c r="AI268" s="265"/>
    </row>
    <row r="269" spans="1:35" x14ac:dyDescent="0.25">
      <c r="A269" s="405"/>
      <c r="B269" s="230"/>
      <c r="C269" s="866"/>
      <c r="D269" s="230"/>
      <c r="E269" s="230"/>
      <c r="F269" s="866"/>
      <c r="G269" s="230"/>
      <c r="H269" s="230"/>
      <c r="I269" s="230"/>
      <c r="J269" s="866"/>
      <c r="K269" s="866"/>
      <c r="L269" s="230"/>
      <c r="M269" s="230"/>
      <c r="N269" s="230"/>
      <c r="O269" s="230"/>
      <c r="P269" s="127"/>
      <c r="Q269" s="1609"/>
      <c r="AC269" s="230"/>
      <c r="AD269" s="265"/>
      <c r="AE269" s="265"/>
      <c r="AF269" s="230"/>
      <c r="AG269" s="230"/>
      <c r="AH269" s="265"/>
      <c r="AI269" s="265"/>
    </row>
    <row r="270" spans="1:35" hidden="1" x14ac:dyDescent="0.25">
      <c r="A270" s="319" t="s">
        <v>567</v>
      </c>
      <c r="B270" s="320"/>
      <c r="C270" s="320"/>
      <c r="D270" s="320"/>
      <c r="E270" s="320"/>
      <c r="F270" s="320"/>
      <c r="G270" s="320"/>
      <c r="H270" s="320"/>
      <c r="I270" s="320"/>
      <c r="J270" s="320"/>
      <c r="K270" s="320"/>
      <c r="L270" s="1294" t="s">
        <v>60</v>
      </c>
      <c r="M270" s="230"/>
      <c r="N270" s="230"/>
      <c r="O270" s="230"/>
      <c r="AC270" s="230"/>
      <c r="AD270" s="265"/>
      <c r="AE270" s="265"/>
      <c r="AF270" s="230"/>
      <c r="AG270" s="230"/>
      <c r="AH270" s="265"/>
      <c r="AI270" s="265"/>
    </row>
    <row r="271" spans="1:35" x14ac:dyDescent="0.25">
      <c r="A271" s="866"/>
      <c r="B271" s="230"/>
      <c r="C271" s="866"/>
      <c r="D271" s="230"/>
      <c r="E271" s="230"/>
      <c r="F271" s="866"/>
      <c r="G271" s="230"/>
      <c r="H271" s="230"/>
      <c r="I271" s="230"/>
      <c r="J271" s="866"/>
      <c r="K271" s="866"/>
      <c r="L271" s="230"/>
      <c r="M271" s="230"/>
      <c r="N271" s="230"/>
      <c r="O271" s="230"/>
      <c r="AC271" s="230"/>
      <c r="AD271" s="265"/>
      <c r="AE271" s="265"/>
      <c r="AF271" s="230"/>
      <c r="AG271" s="230"/>
      <c r="AH271" s="265"/>
      <c r="AI271" s="265"/>
    </row>
    <row r="272" spans="1:35" x14ac:dyDescent="0.25">
      <c r="A272" s="230"/>
      <c r="B272" s="230"/>
      <c r="C272" s="866"/>
      <c r="D272" s="230"/>
      <c r="E272" s="866"/>
      <c r="F272" s="866"/>
      <c r="G272" s="230"/>
      <c r="H272" s="230"/>
      <c r="I272" s="230"/>
      <c r="J272" s="866"/>
      <c r="K272" s="866"/>
      <c r="L272" s="230"/>
      <c r="M272" s="230"/>
      <c r="N272" s="230"/>
      <c r="O272" s="230"/>
      <c r="AC272" s="230"/>
      <c r="AD272" s="265"/>
      <c r="AE272" s="265"/>
      <c r="AF272" s="230"/>
      <c r="AG272" s="230"/>
      <c r="AH272" s="265"/>
      <c r="AI272" s="265"/>
    </row>
    <row r="273" spans="1:35" ht="15" x14ac:dyDescent="0.25">
      <c r="A273" s="479"/>
      <c r="B273" s="479"/>
      <c r="C273" s="479"/>
      <c r="D273" s="480"/>
      <c r="E273" s="480"/>
      <c r="F273" s="480"/>
      <c r="G273" s="480"/>
      <c r="H273" s="480"/>
      <c r="I273" s="480"/>
      <c r="J273" s="480"/>
      <c r="K273" s="480"/>
      <c r="L273" s="480"/>
      <c r="M273" s="230"/>
      <c r="N273" s="230"/>
      <c r="O273" s="230"/>
      <c r="AC273" s="230"/>
      <c r="AD273" s="265"/>
      <c r="AE273" s="265"/>
      <c r="AF273" s="230"/>
      <c r="AG273" s="230"/>
      <c r="AH273" s="265"/>
      <c r="AI273" s="265"/>
    </row>
    <row r="274" spans="1:35" x14ac:dyDescent="0.25">
      <c r="A274" s="403"/>
      <c r="B274" s="481"/>
      <c r="C274" s="481"/>
      <c r="D274" s="480"/>
      <c r="E274" s="480"/>
      <c r="F274" s="480"/>
      <c r="G274" s="480"/>
      <c r="H274" s="480"/>
      <c r="I274" s="482"/>
      <c r="J274" s="482"/>
      <c r="K274" s="482"/>
      <c r="L274" s="480"/>
      <c r="M274" s="230"/>
      <c r="N274" s="230"/>
      <c r="O274" s="230"/>
      <c r="AC274" s="230"/>
      <c r="AD274" s="265"/>
      <c r="AE274" s="265"/>
      <c r="AF274" s="230"/>
      <c r="AG274" s="230"/>
      <c r="AH274" s="265"/>
      <c r="AI274" s="265"/>
    </row>
    <row r="275" spans="1:35" x14ac:dyDescent="0.25">
      <c r="A275" s="403"/>
      <c r="B275" s="481"/>
      <c r="C275" s="481"/>
      <c r="D275" s="480"/>
      <c r="E275" s="480"/>
      <c r="F275" s="480"/>
      <c r="G275" s="480"/>
      <c r="H275" s="480"/>
      <c r="I275" s="481"/>
      <c r="J275" s="481"/>
      <c r="K275" s="481"/>
      <c r="L275" s="480"/>
      <c r="M275" s="230"/>
      <c r="N275" s="230"/>
      <c r="O275" s="230"/>
      <c r="AC275" s="230"/>
      <c r="AD275" s="265"/>
      <c r="AE275" s="265"/>
      <c r="AF275" s="230"/>
      <c r="AG275" s="230"/>
      <c r="AH275" s="265"/>
      <c r="AI275" s="265"/>
    </row>
    <row r="276" spans="1:35" x14ac:dyDescent="0.25">
      <c r="A276" s="403"/>
      <c r="B276" s="481"/>
      <c r="C276" s="481"/>
      <c r="D276" s="480"/>
      <c r="E276" s="480"/>
      <c r="F276" s="480"/>
      <c r="G276" s="480"/>
      <c r="H276" s="480"/>
      <c r="I276" s="482"/>
      <c r="J276" s="482"/>
      <c r="K276" s="482"/>
      <c r="L276" s="480"/>
      <c r="M276" s="230"/>
      <c r="N276" s="230"/>
      <c r="O276" s="230"/>
      <c r="AC276" s="230"/>
      <c r="AD276" s="265"/>
      <c r="AE276" s="265"/>
      <c r="AF276" s="230"/>
      <c r="AG276" s="230"/>
      <c r="AH276" s="265"/>
      <c r="AI276" s="265"/>
    </row>
    <row r="277" spans="1:35" x14ac:dyDescent="0.25">
      <c r="A277" s="481"/>
      <c r="B277" s="481"/>
      <c r="C277" s="481"/>
      <c r="D277" s="480"/>
      <c r="E277" s="480"/>
      <c r="F277" s="480"/>
      <c r="G277" s="480"/>
      <c r="H277" s="480"/>
      <c r="I277" s="483"/>
      <c r="J277" s="483"/>
      <c r="K277" s="483"/>
      <c r="L277" s="480"/>
      <c r="M277" s="230"/>
      <c r="N277" s="230"/>
      <c r="O277" s="230"/>
      <c r="AC277" s="230"/>
      <c r="AD277" s="265"/>
      <c r="AE277" s="265"/>
      <c r="AF277" s="230"/>
      <c r="AG277" s="230"/>
      <c r="AH277" s="265"/>
      <c r="AI277" s="265"/>
    </row>
    <row r="278" spans="1:35" x14ac:dyDescent="0.25">
      <c r="A278" s="403"/>
      <c r="B278" s="481"/>
      <c r="C278" s="481"/>
      <c r="D278" s="480"/>
      <c r="E278" s="480"/>
      <c r="F278" s="480"/>
      <c r="G278" s="480"/>
      <c r="H278" s="480"/>
      <c r="I278" s="480"/>
      <c r="J278" s="480"/>
      <c r="K278" s="480"/>
      <c r="L278" s="480"/>
      <c r="M278" s="230"/>
      <c r="N278" s="230"/>
      <c r="O278" s="230"/>
      <c r="AC278" s="230"/>
      <c r="AD278" s="265"/>
      <c r="AE278" s="265"/>
      <c r="AF278" s="230"/>
      <c r="AG278" s="230"/>
      <c r="AH278" s="265"/>
      <c r="AI278" s="265"/>
    </row>
    <row r="279" spans="1:35" x14ac:dyDescent="0.25">
      <c r="A279" s="403"/>
      <c r="B279" s="481"/>
      <c r="C279" s="481"/>
      <c r="D279" s="480"/>
      <c r="E279" s="480"/>
      <c r="F279" s="480"/>
      <c r="G279" s="480"/>
      <c r="H279" s="480"/>
      <c r="I279" s="482"/>
      <c r="J279" s="482"/>
      <c r="K279" s="482"/>
      <c r="L279" s="480"/>
      <c r="M279" s="230"/>
      <c r="N279" s="230"/>
      <c r="O279" s="230"/>
      <c r="AC279" s="230"/>
      <c r="AD279" s="265"/>
      <c r="AE279" s="265"/>
      <c r="AF279" s="230"/>
      <c r="AG279" s="230"/>
      <c r="AH279" s="265"/>
      <c r="AI279" s="265"/>
    </row>
    <row r="280" spans="1:35" x14ac:dyDescent="0.25">
      <c r="A280" s="403"/>
      <c r="B280" s="481"/>
      <c r="C280" s="481"/>
      <c r="D280" s="480"/>
      <c r="E280" s="480"/>
      <c r="F280" s="480"/>
      <c r="G280" s="480"/>
      <c r="H280" s="480"/>
      <c r="I280" s="481"/>
      <c r="J280" s="481"/>
      <c r="K280" s="481"/>
      <c r="L280" s="480"/>
      <c r="M280" s="230"/>
      <c r="N280" s="230"/>
      <c r="O280" s="230"/>
      <c r="AC280" s="230"/>
      <c r="AD280" s="265"/>
      <c r="AE280" s="265"/>
      <c r="AF280" s="230"/>
      <c r="AG280" s="230"/>
      <c r="AH280" s="265"/>
      <c r="AI280" s="265"/>
    </row>
    <row r="281" spans="1:35" x14ac:dyDescent="0.25">
      <c r="A281" s="403"/>
      <c r="B281" s="481"/>
      <c r="C281" s="481"/>
      <c r="D281" s="480"/>
      <c r="E281" s="480"/>
      <c r="F281" s="480"/>
      <c r="G281" s="480"/>
      <c r="H281" s="480"/>
      <c r="I281" s="482"/>
      <c r="J281" s="482"/>
      <c r="K281" s="482"/>
      <c r="L281" s="483"/>
      <c r="M281" s="230"/>
      <c r="N281" s="230"/>
      <c r="O281" s="230"/>
      <c r="AC281" s="230"/>
      <c r="AD281" s="265"/>
      <c r="AE281" s="265"/>
      <c r="AF281" s="230"/>
      <c r="AG281" s="230"/>
      <c r="AH281" s="265"/>
      <c r="AI281" s="265"/>
    </row>
    <row r="282" spans="1:35" x14ac:dyDescent="0.25">
      <c r="A282" s="481"/>
      <c r="B282" s="481"/>
      <c r="C282" s="481"/>
      <c r="D282" s="480"/>
      <c r="E282" s="480"/>
      <c r="F282" s="480"/>
      <c r="G282" s="480"/>
      <c r="H282" s="480"/>
      <c r="I282" s="483"/>
      <c r="J282" s="483"/>
      <c r="K282" s="483"/>
      <c r="L282" s="480"/>
      <c r="M282" s="230"/>
      <c r="N282" s="230"/>
      <c r="O282" s="230"/>
      <c r="AC282" s="230"/>
      <c r="AD282" s="265"/>
      <c r="AE282" s="265"/>
      <c r="AF282" s="230"/>
      <c r="AG282" s="230"/>
      <c r="AH282" s="265"/>
      <c r="AI282" s="265"/>
    </row>
    <row r="283" spans="1:35" x14ac:dyDescent="0.25">
      <c r="A283" s="403"/>
      <c r="B283" s="481"/>
      <c r="C283" s="481"/>
      <c r="D283" s="480"/>
      <c r="E283" s="480"/>
      <c r="F283" s="480"/>
      <c r="G283" s="480"/>
      <c r="H283" s="480"/>
      <c r="I283" s="480"/>
      <c r="J283" s="480"/>
      <c r="K283" s="480"/>
      <c r="L283" s="484"/>
      <c r="M283" s="230"/>
      <c r="N283" s="230"/>
      <c r="O283" s="230"/>
      <c r="AC283" s="230"/>
      <c r="AD283" s="265"/>
      <c r="AE283" s="265"/>
      <c r="AF283" s="230"/>
      <c r="AG283" s="230"/>
      <c r="AH283" s="265"/>
      <c r="AI283" s="265"/>
    </row>
    <row r="284" spans="1:35" x14ac:dyDescent="0.25">
      <c r="A284" s="485"/>
      <c r="B284" s="485"/>
      <c r="C284" s="485"/>
      <c r="D284" s="480"/>
      <c r="E284" s="480"/>
      <c r="F284" s="480"/>
      <c r="G284" s="480"/>
      <c r="H284" s="480"/>
      <c r="I284" s="480"/>
      <c r="J284" s="480"/>
      <c r="K284" s="480"/>
      <c r="L284" s="480"/>
      <c r="M284" s="230"/>
      <c r="N284" s="230"/>
      <c r="O284" s="230"/>
      <c r="AC284" s="230"/>
      <c r="AD284" s="265"/>
      <c r="AE284" s="265"/>
      <c r="AF284" s="230"/>
      <c r="AG284" s="230"/>
      <c r="AH284" s="265"/>
      <c r="AI284" s="265"/>
    </row>
    <row r="285" spans="1:35" x14ac:dyDescent="0.25">
      <c r="A285" s="403"/>
      <c r="B285" s="481"/>
      <c r="C285" s="481"/>
      <c r="D285" s="480"/>
      <c r="E285" s="480"/>
      <c r="F285" s="480"/>
      <c r="G285" s="480"/>
      <c r="H285" s="480"/>
      <c r="I285" s="480"/>
      <c r="J285" s="480"/>
      <c r="K285" s="480"/>
      <c r="L285" s="480"/>
      <c r="M285" s="230"/>
      <c r="N285" s="230"/>
      <c r="O285" s="230"/>
      <c r="AC285" s="230"/>
      <c r="AD285" s="265"/>
      <c r="AE285" s="265"/>
      <c r="AF285" s="230"/>
      <c r="AG285" s="230"/>
      <c r="AH285" s="265"/>
      <c r="AI285" s="265"/>
    </row>
    <row r="286" spans="1:35" x14ac:dyDescent="0.25">
      <c r="A286" s="481"/>
      <c r="B286" s="481"/>
      <c r="C286" s="481"/>
      <c r="D286" s="480"/>
      <c r="E286" s="480"/>
      <c r="F286" s="480"/>
      <c r="G286" s="480"/>
      <c r="H286" s="480"/>
      <c r="I286" s="480"/>
      <c r="J286" s="480"/>
      <c r="K286" s="480"/>
      <c r="L286" s="484"/>
      <c r="M286" s="230"/>
      <c r="N286" s="230"/>
      <c r="O286" s="230"/>
      <c r="AC286" s="230"/>
      <c r="AD286" s="265"/>
      <c r="AE286" s="265"/>
      <c r="AF286" s="230"/>
      <c r="AG286" s="230"/>
      <c r="AH286" s="265"/>
      <c r="AI286" s="265"/>
    </row>
    <row r="287" spans="1:35" x14ac:dyDescent="0.25">
      <c r="A287" s="486"/>
      <c r="B287" s="486"/>
      <c r="C287" s="486"/>
      <c r="D287" s="480"/>
      <c r="E287" s="480"/>
      <c r="F287" s="480"/>
      <c r="G287" s="480"/>
      <c r="H287" s="480"/>
      <c r="I287" s="480"/>
      <c r="J287" s="480"/>
      <c r="K287" s="480"/>
      <c r="L287" s="484"/>
      <c r="M287" s="230"/>
      <c r="N287" s="230"/>
      <c r="O287" s="230"/>
      <c r="AC287" s="230"/>
      <c r="AD287" s="265"/>
      <c r="AE287" s="265"/>
      <c r="AF287" s="230"/>
      <c r="AG287" s="230"/>
      <c r="AH287" s="265"/>
      <c r="AI287" s="265"/>
    </row>
    <row r="288" spans="1:35" x14ac:dyDescent="0.25">
      <c r="A288" s="405"/>
      <c r="B288" s="405"/>
      <c r="C288" s="405"/>
      <c r="D288" s="230"/>
      <c r="E288" s="230"/>
      <c r="F288" s="866"/>
      <c r="G288" s="230"/>
      <c r="H288" s="230"/>
      <c r="I288" s="230"/>
      <c r="J288" s="866"/>
      <c r="K288" s="866"/>
      <c r="L288" s="230"/>
      <c r="M288" s="230"/>
      <c r="N288" s="230"/>
      <c r="O288" s="230"/>
      <c r="AC288" s="230"/>
      <c r="AD288" s="265"/>
      <c r="AE288" s="265"/>
      <c r="AF288" s="230"/>
      <c r="AG288" s="230"/>
      <c r="AH288" s="265"/>
      <c r="AI288" s="265"/>
    </row>
    <row r="289" spans="1:35" x14ac:dyDescent="0.25">
      <c r="A289" s="405"/>
      <c r="B289" s="405"/>
      <c r="C289" s="405"/>
      <c r="D289" s="230"/>
      <c r="E289" s="230"/>
      <c r="F289" s="866"/>
      <c r="G289" s="230"/>
      <c r="H289" s="230"/>
      <c r="I289" s="230"/>
      <c r="J289" s="866"/>
      <c r="K289" s="866"/>
      <c r="L289" s="230"/>
      <c r="M289" s="230"/>
      <c r="N289" s="230"/>
      <c r="O289" s="230"/>
      <c r="AC289" s="230"/>
      <c r="AD289" s="265"/>
      <c r="AE289" s="265"/>
      <c r="AF289" s="230"/>
      <c r="AG289" s="230"/>
      <c r="AH289" s="265"/>
      <c r="AI289" s="265"/>
    </row>
    <row r="290" spans="1:35" x14ac:dyDescent="0.25">
      <c r="A290" s="405"/>
      <c r="B290" s="405"/>
      <c r="C290" s="405"/>
      <c r="D290" s="230"/>
      <c r="E290" s="230"/>
      <c r="F290" s="866"/>
      <c r="G290" s="230"/>
      <c r="H290" s="230"/>
      <c r="I290" s="230"/>
      <c r="J290" s="866"/>
      <c r="K290" s="866"/>
      <c r="L290" s="230"/>
      <c r="M290" s="230"/>
      <c r="N290" s="230"/>
      <c r="O290" s="230"/>
      <c r="AC290" s="230"/>
      <c r="AD290" s="265"/>
      <c r="AE290" s="265"/>
      <c r="AF290" s="230"/>
      <c r="AG290" s="230"/>
      <c r="AH290" s="265"/>
      <c r="AI290" s="265"/>
    </row>
    <row r="291" spans="1:35" x14ac:dyDescent="0.25">
      <c r="A291" s="405"/>
      <c r="B291" s="405"/>
      <c r="C291" s="405"/>
      <c r="D291" s="230"/>
      <c r="E291" s="230"/>
      <c r="F291" s="866"/>
      <c r="G291" s="230"/>
      <c r="H291" s="230"/>
      <c r="I291" s="230"/>
      <c r="J291" s="866"/>
      <c r="K291" s="866"/>
      <c r="L291" s="230"/>
      <c r="M291" s="230"/>
      <c r="N291" s="230"/>
      <c r="O291" s="230"/>
      <c r="AC291" s="230"/>
      <c r="AD291" s="265"/>
      <c r="AE291" s="265"/>
      <c r="AF291" s="230"/>
      <c r="AG291" s="230"/>
      <c r="AH291" s="265"/>
      <c r="AI291" s="265"/>
    </row>
    <row r="292" spans="1:35" x14ac:dyDescent="0.25">
      <c r="A292" s="405"/>
      <c r="B292" s="405"/>
      <c r="C292" s="405"/>
      <c r="D292" s="230"/>
      <c r="E292" s="230"/>
      <c r="F292" s="866"/>
      <c r="G292" s="230"/>
      <c r="H292" s="230"/>
      <c r="I292" s="230"/>
      <c r="J292" s="866"/>
      <c r="K292" s="866"/>
      <c r="L292" s="230"/>
      <c r="M292" s="230"/>
      <c r="N292" s="230"/>
      <c r="O292" s="230"/>
      <c r="AC292" s="230"/>
      <c r="AD292" s="265"/>
      <c r="AE292" s="265"/>
      <c r="AF292" s="230"/>
      <c r="AG292" s="230"/>
      <c r="AH292" s="265"/>
      <c r="AI292" s="265"/>
    </row>
    <row r="293" spans="1:35" x14ac:dyDescent="0.25">
      <c r="A293" s="405"/>
      <c r="B293" s="405"/>
      <c r="C293" s="405"/>
      <c r="D293" s="230"/>
      <c r="E293" s="230"/>
      <c r="F293" s="866"/>
      <c r="G293" s="230"/>
      <c r="H293" s="230"/>
      <c r="I293" s="230"/>
      <c r="J293" s="866"/>
      <c r="K293" s="866"/>
      <c r="L293" s="230"/>
      <c r="M293" s="230"/>
      <c r="N293" s="230"/>
      <c r="O293" s="230"/>
      <c r="AC293" s="230"/>
      <c r="AD293" s="265"/>
      <c r="AE293" s="265"/>
      <c r="AF293" s="230"/>
      <c r="AG293" s="230"/>
      <c r="AH293" s="265"/>
      <c r="AI293" s="265"/>
    </row>
    <row r="294" spans="1:35" x14ac:dyDescent="0.25">
      <c r="A294" s="405"/>
      <c r="B294" s="405"/>
      <c r="C294" s="405"/>
      <c r="D294" s="230"/>
      <c r="E294" s="230"/>
      <c r="F294" s="866"/>
      <c r="G294" s="230"/>
      <c r="H294" s="230"/>
      <c r="I294" s="230"/>
      <c r="J294" s="866"/>
      <c r="K294" s="866"/>
      <c r="L294" s="230"/>
      <c r="M294" s="230"/>
      <c r="N294" s="230"/>
      <c r="O294" s="230"/>
      <c r="AC294" s="230"/>
      <c r="AD294" s="265"/>
      <c r="AE294" s="265"/>
      <c r="AF294" s="230"/>
      <c r="AG294" s="230"/>
      <c r="AH294" s="265"/>
      <c r="AI294" s="265"/>
    </row>
    <row r="295" spans="1:35" x14ac:dyDescent="0.25">
      <c r="A295" s="405"/>
      <c r="B295" s="405"/>
      <c r="C295" s="405"/>
      <c r="D295" s="230"/>
      <c r="E295" s="230"/>
      <c r="F295" s="866"/>
      <c r="G295" s="230"/>
      <c r="H295" s="230"/>
      <c r="I295" s="230"/>
      <c r="J295" s="866"/>
      <c r="K295" s="866"/>
      <c r="L295" s="230"/>
      <c r="M295" s="230"/>
      <c r="N295" s="230"/>
      <c r="O295" s="230"/>
      <c r="AC295" s="230"/>
      <c r="AD295" s="265"/>
      <c r="AE295" s="265"/>
      <c r="AF295" s="230"/>
      <c r="AG295" s="230"/>
      <c r="AH295" s="265"/>
      <c r="AI295" s="265"/>
    </row>
    <row r="296" spans="1:35" x14ac:dyDescent="0.25">
      <c r="A296" s="405"/>
      <c r="B296" s="405"/>
      <c r="C296" s="405"/>
      <c r="D296" s="230"/>
      <c r="E296" s="230"/>
      <c r="F296" s="866"/>
      <c r="G296" s="230"/>
      <c r="H296" s="230"/>
      <c r="I296" s="230"/>
      <c r="J296" s="866"/>
      <c r="K296" s="866"/>
      <c r="L296" s="230"/>
      <c r="M296" s="230"/>
      <c r="N296" s="230"/>
      <c r="O296" s="230"/>
      <c r="AC296" s="230"/>
      <c r="AD296" s="265"/>
      <c r="AE296" s="265"/>
      <c r="AF296" s="230"/>
      <c r="AG296" s="230"/>
      <c r="AH296" s="265"/>
      <c r="AI296" s="265"/>
    </row>
    <row r="297" spans="1:35" x14ac:dyDescent="0.25">
      <c r="A297" s="405"/>
      <c r="B297" s="405"/>
      <c r="C297" s="405"/>
      <c r="D297" s="230"/>
      <c r="E297" s="230"/>
      <c r="F297" s="866"/>
      <c r="G297" s="230"/>
      <c r="H297" s="230"/>
      <c r="I297" s="230"/>
      <c r="J297" s="866"/>
      <c r="K297" s="866"/>
      <c r="L297" s="230"/>
      <c r="M297" s="230"/>
      <c r="N297" s="230"/>
      <c r="O297" s="230"/>
      <c r="AC297" s="230"/>
      <c r="AD297" s="265"/>
      <c r="AE297" s="265"/>
      <c r="AF297" s="230"/>
      <c r="AG297" s="230"/>
      <c r="AH297" s="265"/>
      <c r="AI297" s="265"/>
    </row>
    <row r="298" spans="1:35" x14ac:dyDescent="0.25">
      <c r="A298" s="405"/>
      <c r="B298" s="405"/>
      <c r="C298" s="405"/>
      <c r="D298" s="230"/>
      <c r="E298" s="230"/>
      <c r="F298" s="866"/>
      <c r="G298" s="230"/>
      <c r="H298" s="230"/>
      <c r="I298" s="230"/>
      <c r="J298" s="866"/>
      <c r="K298" s="866"/>
      <c r="L298" s="230"/>
      <c r="M298" s="230"/>
      <c r="N298" s="230"/>
      <c r="O298" s="230"/>
      <c r="AC298" s="230"/>
      <c r="AD298" s="265"/>
      <c r="AE298" s="265"/>
      <c r="AF298" s="230"/>
      <c r="AG298" s="230"/>
      <c r="AH298" s="265"/>
      <c r="AI298" s="265"/>
    </row>
    <row r="299" spans="1:35" x14ac:dyDescent="0.25">
      <c r="A299" s="405"/>
      <c r="B299" s="405"/>
      <c r="C299" s="405"/>
      <c r="D299" s="230"/>
      <c r="E299" s="230"/>
      <c r="F299" s="866"/>
      <c r="G299" s="230"/>
      <c r="H299" s="230"/>
      <c r="I299" s="230"/>
      <c r="J299" s="866"/>
      <c r="K299" s="866"/>
      <c r="L299" s="230"/>
      <c r="M299" s="230"/>
      <c r="N299" s="230"/>
      <c r="O299" s="230"/>
      <c r="AC299" s="230"/>
      <c r="AD299" s="265"/>
      <c r="AE299" s="265"/>
      <c r="AF299" s="230"/>
      <c r="AG299" s="230"/>
      <c r="AH299" s="265"/>
      <c r="AI299" s="265"/>
    </row>
    <row r="300" spans="1:35" x14ac:dyDescent="0.25">
      <c r="A300" s="405"/>
      <c r="B300" s="405"/>
      <c r="C300" s="405"/>
      <c r="D300" s="230"/>
      <c r="E300" s="230"/>
      <c r="F300" s="866"/>
      <c r="G300" s="230"/>
      <c r="H300" s="230"/>
      <c r="I300" s="230"/>
      <c r="J300" s="866"/>
      <c r="K300" s="866"/>
      <c r="L300" s="230"/>
      <c r="M300" s="230"/>
      <c r="N300" s="230"/>
      <c r="O300" s="230"/>
      <c r="AC300" s="230"/>
      <c r="AD300" s="265"/>
      <c r="AE300" s="265"/>
      <c r="AF300" s="230"/>
      <c r="AG300" s="230"/>
      <c r="AH300" s="265"/>
      <c r="AI300" s="265"/>
    </row>
    <row r="301" spans="1:35" x14ac:dyDescent="0.25">
      <c r="A301" s="405"/>
      <c r="B301" s="405"/>
      <c r="C301" s="405"/>
      <c r="D301" s="230"/>
      <c r="E301" s="230"/>
      <c r="F301" s="866"/>
      <c r="G301" s="230"/>
      <c r="H301" s="230"/>
      <c r="I301" s="230"/>
      <c r="J301" s="866"/>
      <c r="K301" s="866"/>
      <c r="L301" s="230"/>
      <c r="M301" s="230"/>
      <c r="N301" s="230"/>
      <c r="O301" s="230"/>
      <c r="AC301" s="230"/>
      <c r="AD301" s="265"/>
      <c r="AE301" s="265"/>
      <c r="AF301" s="230"/>
      <c r="AG301" s="230"/>
      <c r="AH301" s="265"/>
      <c r="AI301" s="265"/>
    </row>
    <row r="302" spans="1:35" x14ac:dyDescent="0.25">
      <c r="A302" s="405"/>
      <c r="B302" s="405"/>
      <c r="C302" s="405"/>
      <c r="D302" s="230"/>
      <c r="E302" s="230"/>
      <c r="F302" s="866"/>
      <c r="G302" s="230"/>
      <c r="H302" s="230"/>
      <c r="I302" s="230"/>
      <c r="J302" s="866"/>
      <c r="K302" s="866"/>
      <c r="L302" s="230"/>
      <c r="M302" s="230"/>
      <c r="N302" s="230"/>
      <c r="O302" s="230"/>
      <c r="AC302" s="230"/>
      <c r="AD302" s="265"/>
      <c r="AE302" s="265"/>
      <c r="AF302" s="230"/>
      <c r="AG302" s="230"/>
      <c r="AH302" s="265"/>
      <c r="AI302" s="265"/>
    </row>
    <row r="303" spans="1:35" x14ac:dyDescent="0.25">
      <c r="A303" s="405"/>
      <c r="B303" s="405"/>
      <c r="C303" s="405"/>
      <c r="D303" s="230"/>
      <c r="E303" s="230"/>
      <c r="F303" s="866"/>
      <c r="G303" s="230"/>
      <c r="H303" s="230"/>
      <c r="I303" s="230"/>
      <c r="J303" s="866"/>
      <c r="K303" s="866"/>
      <c r="L303" s="230"/>
      <c r="M303" s="230"/>
      <c r="N303" s="230"/>
      <c r="O303" s="230"/>
      <c r="AC303" s="230"/>
      <c r="AD303" s="265"/>
      <c r="AE303" s="265"/>
      <c r="AF303" s="230"/>
      <c r="AG303" s="230"/>
      <c r="AH303" s="265"/>
      <c r="AI303" s="265"/>
    </row>
    <row r="304" spans="1:35" x14ac:dyDescent="0.25">
      <c r="A304" s="405"/>
      <c r="B304" s="405"/>
      <c r="C304" s="405"/>
      <c r="D304" s="230"/>
      <c r="E304" s="230"/>
      <c r="F304" s="866"/>
      <c r="G304" s="230"/>
      <c r="H304" s="230"/>
      <c r="I304" s="230"/>
      <c r="J304" s="866"/>
      <c r="K304" s="866"/>
      <c r="L304" s="230"/>
      <c r="M304" s="230"/>
      <c r="N304" s="230"/>
      <c r="O304" s="230"/>
      <c r="AC304" s="230"/>
      <c r="AD304" s="265"/>
      <c r="AE304" s="265"/>
      <c r="AF304" s="230"/>
      <c r="AG304" s="230"/>
      <c r="AH304" s="265"/>
      <c r="AI304" s="265"/>
    </row>
    <row r="305" spans="1:35" x14ac:dyDescent="0.25">
      <c r="A305" s="405"/>
      <c r="B305" s="405"/>
      <c r="C305" s="405"/>
      <c r="D305" s="230"/>
      <c r="E305" s="230"/>
      <c r="F305" s="866"/>
      <c r="G305" s="230"/>
      <c r="H305" s="230"/>
      <c r="I305" s="230"/>
      <c r="J305" s="866"/>
      <c r="K305" s="866"/>
      <c r="L305" s="230"/>
      <c r="M305" s="230"/>
      <c r="N305" s="230"/>
      <c r="O305" s="230"/>
      <c r="AC305" s="230"/>
      <c r="AD305" s="265"/>
      <c r="AE305" s="265"/>
      <c r="AF305" s="230"/>
      <c r="AG305" s="230"/>
      <c r="AH305" s="265"/>
      <c r="AI305" s="265"/>
    </row>
  </sheetData>
  <sheetProtection algorithmName="SHA-512" hashValue="EkxQ4UvulXv1zsK0l/GkAgwGPYbs9mywgMxE+KLUaku79Iq4puHNfpbmcJILKGjygXcr9tSMRbH6FoFuuib7Og==" saltValue="k0yr1nApqty6STfJRry2Eg==" spinCount="100000" sheet="1" formatCells="0" formatColumns="0"/>
  <mergeCells count="25">
    <mergeCell ref="B8:G8"/>
    <mergeCell ref="M12:O12"/>
    <mergeCell ref="AK33:AL33"/>
    <mergeCell ref="AN33:AO33"/>
    <mergeCell ref="AQ16:AS16"/>
    <mergeCell ref="AQ33:AS33"/>
    <mergeCell ref="AK16:AL16"/>
    <mergeCell ref="AN16:AO16"/>
    <mergeCell ref="P13:P16"/>
    <mergeCell ref="AG16:AI16"/>
    <mergeCell ref="Q12:Q16"/>
    <mergeCell ref="T14:T16"/>
    <mergeCell ref="AC12:AI12"/>
    <mergeCell ref="U12:U15"/>
    <mergeCell ref="V12:V15"/>
    <mergeCell ref="Y12:Y15"/>
    <mergeCell ref="Z12:Z15"/>
    <mergeCell ref="W14:W16"/>
    <mergeCell ref="X14:X16"/>
    <mergeCell ref="AC61:AD61"/>
    <mergeCell ref="AG33:AI33"/>
    <mergeCell ref="AC33:AE33"/>
    <mergeCell ref="AG61:AI61"/>
    <mergeCell ref="AG52:AI52"/>
    <mergeCell ref="AC52:AD52"/>
  </mergeCells>
  <phoneticPr fontId="17" type="noConversion"/>
  <dataValidations xWindow="716" yWindow="828" count="16">
    <dataValidation type="list" allowBlank="1" showInputMessage="1" showErrorMessage="1" promptTitle="Note about subawards - " prompt="If you are a subaward on another institution's grant AND the PI requested a modular budget, answer Yes._x000a__x000a_If you are a subaward on another institiuton's grant AND the PI did not request a modular budget, answer No._x000a_" sqref="L104">
      <formula1>Modular_Rounding_Feature</formula1>
    </dataValidation>
    <dataValidation type="list" allowBlank="1" showInputMessage="1" showErrorMessage="1" sqref="L138">
      <formula1>$N$140:$N$165</formula1>
    </dataValidation>
    <dataValidation allowBlank="1" showInputMessage="1" showErrorMessage="1" promptTitle="Confused?" prompt="Do not confuse the FRINGE BENEFIT RATE with the F&amp;A Rate.  This question is about fringe benefits." sqref="N218"/>
    <dataValidation allowBlank="1" showInputMessage="1" showErrorMessage="1" promptTitle="Don't enter fringe rate here!" prompt="Answer qs below._x000a__x000a_" sqref="M17:M24"/>
    <dataValidation type="list" allowBlank="1" showInputMessage="1" showErrorMessage="1" sqref="O81">
      <formula1>$E$258:$E$268</formula1>
    </dataValidation>
    <dataValidation type="list" allowBlank="1" showInputMessage="1" showErrorMessage="1" sqref="M86">
      <formula1>$N$193:$N$196</formula1>
    </dataValidation>
    <dataValidation type="list" allowBlank="1" showInputMessage="1" showErrorMessage="1" sqref="M90">
      <formula1>$N$198:$N$201</formula1>
    </dataValidation>
    <dataValidation type="list" allowBlank="1" showInputMessage="1" showErrorMessage="1" sqref="L168 Q18:Q24 L127 L220 L108 M186 M227 L134 L183 L247 L177 T17:T24">
      <formula1>$A$258:$A$259</formula1>
    </dataValidation>
    <dataValidation type="list" allowBlank="1" showInputMessage="1" showErrorMessage="1" promptTitle="Not Sure?" prompt="Assume Yes unless otherwise specified in the agency's instructions." sqref="M217">
      <formula1>$A$258:$A$259</formula1>
    </dataValidation>
    <dataValidation type="list" allowBlank="1" showInputMessage="1" showErrorMessage="1" promptTitle="K award?" prompt="Answer &quot;No&quot; if this is a K award.  _x000a__x000a_Answer &quot;Yes&quot; if there is a K awardee on your budget where the funding source is federal.  Example: NIH R01 grant with a K awardee as a co-investigator." sqref="Q17">
      <formula1>$A$258:$A$259</formula1>
    </dataValidation>
    <dataValidation type="list" allowBlank="1" showInputMessage="1" showErrorMessage="1" sqref="K97">
      <formula1>$O$229:$O$245</formula1>
    </dataValidation>
    <dataValidation type="list" allowBlank="1" showInputMessage="1" showErrorMessage="1" sqref="L125">
      <formula1>$L$112:$L$124</formula1>
    </dataValidation>
    <dataValidation allowBlank="1" showInputMessage="1" showErrorMessage="1" promptTitle="Percent Effort" prompt="For Full Time Positions - _x000a_If you prefer % effort, you may use the Effort Converter Calculator on the seperate worksheet." sqref="J16"/>
    <dataValidation allowBlank="1" showInputMessage="1" showErrorMessage="1" promptTitle="Percent Effort" prompt="For Full Time Positions - _x000a_If you prefer % effort for any of the personnel rows, you may use the Effort Converter Calculator on the seperate worksheet." sqref="J17"/>
    <dataValidation allowBlank="1" showInputMessage="1" showErrorMessage="1" promptTitle="Part-Time Faculty" prompt="You must annualize the base salary.  You may use the P-T Faculty worksheet to do so." sqref="I16"/>
    <dataValidation allowBlank="1" showInputMessage="1" showErrorMessage="1" promptTitle="Part-Time Faculty" prompt="If there are part-time faculty on any of the rows, you must annualize their base salary.  You may use the P-T Faculty worksheet to do so." sqref="I17"/>
  </dataValidations>
  <hyperlinks>
    <hyperlink ref="O127" r:id="rId1"/>
    <hyperlink ref="O247" r:id="rId2"/>
    <hyperlink ref="O248" r:id="rId3"/>
  </hyperlinks>
  <pageMargins left="0.25" right="0.25" top="0.25" bottom="0.25" header="0" footer="0"/>
  <pageSetup scale="60" orientation="portrait" horizontalDpi="1200" verticalDpi="1200" r:id="rId4"/>
  <headerFooter alignWithMargins="0"/>
  <drawing r:id="rId5"/>
  <legacyDrawing r:id="rId6"/>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BZ307"/>
  <sheetViews>
    <sheetView zoomScale="75" zoomScaleNormal="75" workbookViewId="0">
      <selection activeCell="F11" sqref="F11"/>
    </sheetView>
  </sheetViews>
  <sheetFormatPr defaultColWidth="8.88671875" defaultRowHeight="13.8" x14ac:dyDescent="0.25"/>
  <cols>
    <col min="1" max="1" width="26.33203125" style="3" customWidth="1"/>
    <col min="2" max="2" width="25.33203125" style="3" customWidth="1"/>
    <col min="3" max="3" width="14.88671875" style="867" customWidth="1"/>
    <col min="4" max="4" width="10.44140625" style="867" customWidth="1"/>
    <col min="5" max="5" width="12" style="867" customWidth="1"/>
    <col min="6" max="7" width="10.44140625" style="867" customWidth="1"/>
    <col min="8" max="8" width="16.33203125" style="867" customWidth="1"/>
    <col min="9" max="9" width="16.44140625" style="867" customWidth="1"/>
    <col min="10" max="10" width="18.6640625" style="867" customWidth="1"/>
    <col min="11" max="11" width="24.6640625" style="867" customWidth="1"/>
    <col min="12" max="12" width="6.44140625" style="867" customWidth="1"/>
    <col min="13" max="13" width="9.44140625" style="867" customWidth="1"/>
    <col min="14" max="14" width="11.6640625" style="867" customWidth="1"/>
    <col min="15" max="15" width="1.44140625" style="867" customWidth="1"/>
    <col min="16" max="16" width="7.6640625" style="867" customWidth="1"/>
    <col min="17" max="17" width="7.44140625" style="867" hidden="1" customWidth="1"/>
    <col min="18" max="18" width="9.44140625" style="867" hidden="1" customWidth="1"/>
    <col min="19" max="19" width="8" style="867" customWidth="1"/>
    <col min="20" max="20" width="9.109375" style="867" customWidth="1"/>
    <col min="21" max="21" width="7.44140625" style="867" customWidth="1"/>
    <col min="22" max="22" width="2.88671875" style="867" customWidth="1"/>
    <col min="23" max="23" width="14.109375" style="867" customWidth="1"/>
    <col min="24" max="24" width="11.88671875" style="873" customWidth="1"/>
    <col min="25" max="25" width="10.88671875" style="873" customWidth="1"/>
    <col min="26" max="26" width="1.6640625" style="867" customWidth="1"/>
    <col min="27" max="27" width="13.109375" style="867" customWidth="1"/>
    <col min="28" max="28" width="12.44140625" style="873" customWidth="1"/>
    <col min="29" max="29" width="12.33203125" style="873" customWidth="1"/>
    <col min="30" max="30" width="1" style="867" customWidth="1"/>
    <col min="31" max="31" width="10.109375" style="867" hidden="1" customWidth="1"/>
    <col min="32" max="32" width="8.88671875" style="867" hidden="1" customWidth="1"/>
    <col min="33" max="33" width="1.44140625" style="867" hidden="1" customWidth="1"/>
    <col min="34" max="34" width="10" style="867" hidden="1" customWidth="1"/>
    <col min="35" max="35" width="9.88671875" style="867" hidden="1" customWidth="1"/>
    <col min="36" max="36" width="1" style="867" hidden="1" customWidth="1"/>
    <col min="37" max="37" width="11" style="867" hidden="1" customWidth="1"/>
    <col min="38" max="38" width="10.88671875" style="867" hidden="1" customWidth="1"/>
    <col min="39" max="39" width="11.88671875" style="867" hidden="1" customWidth="1"/>
    <col min="40" max="40" width="12.44140625" style="866" customWidth="1"/>
    <col min="41" max="41" width="8.88671875" style="866" customWidth="1"/>
    <col min="42" max="52" width="8.88671875" style="866"/>
    <col min="53" max="78" width="8.88671875" style="869"/>
    <col min="79" max="16384" width="8.88671875" style="867"/>
  </cols>
  <sheetData>
    <row r="1" spans="1:78" x14ac:dyDescent="0.25">
      <c r="A1" s="863" t="s">
        <v>411</v>
      </c>
      <c r="B1" s="864"/>
      <c r="C1" s="865"/>
      <c r="D1" s="865"/>
      <c r="E1" s="865"/>
      <c r="F1" s="865"/>
      <c r="G1" s="865"/>
      <c r="H1" s="865"/>
      <c r="I1" s="865"/>
      <c r="J1" s="865"/>
      <c r="K1" s="865"/>
      <c r="L1" s="866"/>
      <c r="M1" s="866"/>
      <c r="N1" s="866"/>
      <c r="O1" s="866"/>
      <c r="P1" s="866"/>
      <c r="Q1" s="866"/>
      <c r="R1" s="866"/>
      <c r="S1" s="866"/>
      <c r="T1" s="866"/>
      <c r="U1" s="866"/>
      <c r="W1" s="866"/>
      <c r="X1" s="868"/>
      <c r="Y1" s="868"/>
      <c r="Z1" s="866"/>
      <c r="AA1" s="866"/>
      <c r="AB1" s="868"/>
      <c r="AC1" s="868"/>
      <c r="AK1" s="129" t="e">
        <f>#REF!*#REF!</f>
        <v>#REF!</v>
      </c>
      <c r="AL1" s="129" t="e">
        <f>#REF!*#REF!</f>
        <v>#REF!</v>
      </c>
      <c r="AM1" s="129" t="e">
        <f>#REF!*#REF!</f>
        <v>#REF!</v>
      </c>
    </row>
    <row r="2" spans="1:78" ht="14.4" x14ac:dyDescent="0.25">
      <c r="A2" s="885" t="s">
        <v>412</v>
      </c>
      <c r="B2" s="871"/>
      <c r="C2" s="872"/>
      <c r="D2" s="872"/>
      <c r="E2" s="872"/>
      <c r="F2" s="872"/>
      <c r="G2" s="872"/>
      <c r="H2" s="872"/>
      <c r="I2" s="872"/>
      <c r="J2" s="872"/>
      <c r="K2" s="872"/>
    </row>
    <row r="3" spans="1:78" ht="14.4" x14ac:dyDescent="0.25">
      <c r="A3" s="885" t="s">
        <v>413</v>
      </c>
      <c r="B3" s="871"/>
      <c r="C3" s="872"/>
      <c r="D3" s="872"/>
      <c r="E3" s="872"/>
      <c r="F3" s="872"/>
      <c r="G3" s="872"/>
      <c r="H3" s="872"/>
      <c r="I3" s="872"/>
      <c r="J3" s="872"/>
      <c r="K3" s="872"/>
    </row>
    <row r="4" spans="1:78" ht="14.4" x14ac:dyDescent="0.25">
      <c r="A4" s="885" t="s">
        <v>442</v>
      </c>
      <c r="B4" s="871"/>
      <c r="C4" s="872"/>
      <c r="D4" s="872"/>
      <c r="E4" s="872"/>
      <c r="F4" s="872"/>
      <c r="G4" s="872"/>
      <c r="H4" s="872"/>
      <c r="I4" s="872"/>
      <c r="J4" s="872"/>
      <c r="K4" s="872"/>
    </row>
    <row r="5" spans="1:78" ht="14.4" x14ac:dyDescent="0.25">
      <c r="A5" s="870" t="s">
        <v>443</v>
      </c>
      <c r="B5" s="871"/>
      <c r="C5" s="872"/>
      <c r="D5" s="872"/>
      <c r="E5" s="872"/>
      <c r="F5" s="872"/>
      <c r="G5" s="872"/>
      <c r="H5" s="872"/>
      <c r="I5" s="872"/>
      <c r="J5" s="872"/>
      <c r="K5" s="872"/>
    </row>
    <row r="6" spans="1:78" ht="16.5" customHeight="1" x14ac:dyDescent="0.25">
      <c r="A6" s="307"/>
      <c r="B6" s="283"/>
      <c r="C6" s="283"/>
      <c r="D6" s="283" t="s">
        <v>57</v>
      </c>
      <c r="E6" s="283"/>
      <c r="F6" s="283"/>
      <c r="G6" s="283"/>
      <c r="H6" s="283"/>
      <c r="I6" s="283"/>
      <c r="J6" s="283"/>
      <c r="K6" s="284"/>
      <c r="L6" s="866"/>
      <c r="M6" s="866"/>
      <c r="N6" s="866"/>
      <c r="O6" s="866"/>
      <c r="P6" s="866"/>
      <c r="Q6" s="866"/>
      <c r="R6" s="866"/>
      <c r="S6" s="866"/>
      <c r="T6" s="866"/>
      <c r="U6" s="866"/>
      <c r="V6" s="866"/>
      <c r="W6" s="866"/>
      <c r="X6" s="868"/>
      <c r="Y6" s="868"/>
      <c r="Z6" s="866"/>
      <c r="AA6" s="866"/>
      <c r="AB6" s="868"/>
      <c r="AC6" s="868"/>
    </row>
    <row r="7" spans="1:78" ht="6.75" customHeight="1" x14ac:dyDescent="0.25">
      <c r="A7" s="20"/>
      <c r="B7" s="60"/>
      <c r="C7" s="59"/>
      <c r="D7" s="59"/>
      <c r="E7" s="59"/>
      <c r="F7" s="59"/>
      <c r="G7" s="59"/>
      <c r="H7" s="59"/>
      <c r="I7" s="244"/>
      <c r="J7" s="244"/>
      <c r="K7" s="245"/>
      <c r="L7" s="866"/>
      <c r="M7" s="866"/>
      <c r="N7" s="866"/>
      <c r="O7" s="866"/>
      <c r="P7" s="866"/>
      <c r="Q7" s="866"/>
      <c r="R7" s="866"/>
      <c r="S7" s="866"/>
      <c r="T7" s="866"/>
      <c r="U7" s="866"/>
      <c r="V7" s="866"/>
      <c r="W7" s="866"/>
      <c r="X7" s="868"/>
      <c r="Y7" s="868"/>
      <c r="Z7" s="866"/>
      <c r="AA7" s="866"/>
      <c r="AB7" s="868"/>
      <c r="AC7" s="868"/>
    </row>
    <row r="8" spans="1:78" ht="16.5" customHeight="1" x14ac:dyDescent="0.25">
      <c r="A8" s="305" t="s">
        <v>37</v>
      </c>
      <c r="B8" s="1469" t="s">
        <v>498</v>
      </c>
      <c r="C8" s="1469"/>
      <c r="D8" s="1469"/>
      <c r="E8" s="1469"/>
      <c r="F8" s="916" t="s">
        <v>491</v>
      </c>
      <c r="G8" s="246"/>
      <c r="H8" s="246"/>
      <c r="I8" s="246"/>
      <c r="J8" s="246"/>
      <c r="K8" s="1017" t="s">
        <v>512</v>
      </c>
      <c r="L8" s="866"/>
      <c r="M8" s="866"/>
      <c r="N8" s="866"/>
      <c r="O8" s="866"/>
      <c r="P8" s="866"/>
      <c r="Q8" s="866"/>
      <c r="R8" s="866"/>
      <c r="S8" s="866"/>
      <c r="T8" s="866"/>
      <c r="U8" s="866"/>
      <c r="V8" s="866"/>
      <c r="W8" s="866"/>
      <c r="X8" s="868"/>
      <c r="Y8" s="868"/>
      <c r="Z8" s="866"/>
      <c r="AA8" s="866"/>
      <c r="AB8" s="868"/>
      <c r="AC8" s="868"/>
    </row>
    <row r="9" spans="1:78" ht="16.5" customHeight="1" x14ac:dyDescent="0.25">
      <c r="A9" s="305" t="s">
        <v>38</v>
      </c>
      <c r="B9" s="1469" t="s">
        <v>455</v>
      </c>
      <c r="C9" s="1469"/>
      <c r="D9" s="1469"/>
      <c r="E9" s="246"/>
      <c r="F9" s="246"/>
      <c r="G9" s="246"/>
      <c r="H9" s="246"/>
      <c r="I9" s="246"/>
      <c r="J9" s="246"/>
      <c r="K9" s="285"/>
      <c r="L9" s="866"/>
      <c r="M9" s="866"/>
      <c r="N9" s="866"/>
      <c r="O9" s="866"/>
      <c r="P9" s="866"/>
      <c r="Q9" s="866"/>
      <c r="R9" s="866"/>
      <c r="S9" s="866"/>
      <c r="T9" s="866"/>
      <c r="U9" s="866"/>
      <c r="V9" s="866"/>
      <c r="W9" s="866"/>
      <c r="X9" s="868"/>
      <c r="Y9" s="868"/>
      <c r="Z9" s="866"/>
      <c r="AA9" s="866"/>
      <c r="AB9" s="868"/>
      <c r="AC9" s="868"/>
    </row>
    <row r="10" spans="1:78" s="904" customFormat="1" ht="16.5" customHeight="1" x14ac:dyDescent="0.25">
      <c r="A10" s="305" t="s">
        <v>39</v>
      </c>
      <c r="B10" s="1469" t="s">
        <v>456</v>
      </c>
      <c r="C10" s="1469"/>
      <c r="D10" s="1469"/>
      <c r="E10" s="1469"/>
      <c r="F10" s="1469"/>
      <c r="G10" s="1469"/>
      <c r="H10" s="275"/>
      <c r="I10" s="275"/>
      <c r="J10" s="275"/>
      <c r="K10" s="286"/>
      <c r="L10" s="912"/>
      <c r="M10" s="912"/>
      <c r="N10" s="912"/>
      <c r="O10" s="912"/>
      <c r="P10" s="912"/>
      <c r="Q10" s="912"/>
      <c r="R10" s="912"/>
      <c r="S10" s="912"/>
      <c r="T10" s="912"/>
      <c r="U10" s="912"/>
      <c r="V10" s="912"/>
      <c r="W10" s="912"/>
      <c r="X10" s="911"/>
      <c r="Y10" s="911"/>
      <c r="Z10" s="912"/>
      <c r="AA10" s="912"/>
      <c r="AB10" s="911"/>
      <c r="AC10" s="911"/>
      <c r="AN10" s="912"/>
      <c r="AO10" s="912"/>
      <c r="AP10" s="912"/>
      <c r="AQ10" s="912"/>
      <c r="AR10" s="912"/>
      <c r="AS10" s="912"/>
      <c r="AT10" s="912"/>
      <c r="AU10" s="912"/>
      <c r="AV10" s="912"/>
      <c r="AW10" s="912"/>
      <c r="AX10" s="912"/>
      <c r="AY10" s="912"/>
      <c r="AZ10" s="912"/>
      <c r="BA10" s="655"/>
      <c r="BB10" s="655"/>
      <c r="BC10" s="655"/>
      <c r="BD10" s="655"/>
      <c r="BE10" s="655"/>
      <c r="BF10" s="655"/>
      <c r="BG10" s="655"/>
      <c r="BH10" s="655"/>
      <c r="BI10" s="655"/>
      <c r="BJ10" s="655"/>
      <c r="BK10" s="655"/>
      <c r="BL10" s="655"/>
      <c r="BM10" s="655"/>
      <c r="BN10" s="655"/>
      <c r="BO10" s="655"/>
      <c r="BP10" s="655"/>
      <c r="BQ10" s="655"/>
      <c r="BR10" s="655"/>
      <c r="BS10" s="655"/>
      <c r="BT10" s="655"/>
      <c r="BU10" s="655"/>
      <c r="BV10" s="655"/>
      <c r="BW10" s="655"/>
      <c r="BX10" s="655"/>
      <c r="BY10" s="655"/>
      <c r="BZ10" s="655"/>
    </row>
    <row r="11" spans="1:78" s="904" customFormat="1" ht="16.5" customHeight="1" x14ac:dyDescent="0.25">
      <c r="A11" s="306" t="s">
        <v>40</v>
      </c>
      <c r="B11" s="1560" t="s">
        <v>457</v>
      </c>
      <c r="C11" s="1561"/>
      <c r="D11" s="1562"/>
      <c r="E11" s="275"/>
      <c r="F11" s="275"/>
      <c r="G11" s="275"/>
      <c r="H11" s="275"/>
      <c r="I11" s="275"/>
      <c r="J11" s="275"/>
      <c r="K11" s="286"/>
      <c r="L11" s="912"/>
      <c r="M11" s="912"/>
      <c r="N11" s="912"/>
      <c r="O11" s="912"/>
      <c r="P11" s="912"/>
      <c r="Q11" s="912"/>
      <c r="R11" s="912"/>
      <c r="S11" s="912"/>
      <c r="T11" s="912"/>
      <c r="U11" s="912"/>
      <c r="V11" s="912"/>
      <c r="W11" s="912"/>
      <c r="X11" s="911"/>
      <c r="Y11" s="911"/>
      <c r="Z11" s="912"/>
      <c r="AA11" s="912"/>
      <c r="AB11" s="911"/>
      <c r="AC11" s="911"/>
      <c r="AN11" s="912"/>
      <c r="AO11" s="912"/>
      <c r="AP11" s="912"/>
      <c r="AQ11" s="912"/>
      <c r="AR11" s="912"/>
      <c r="AS11" s="912"/>
      <c r="AT11" s="912"/>
      <c r="AU11" s="912"/>
      <c r="AV11" s="912"/>
      <c r="AW11" s="912"/>
      <c r="AX11" s="912"/>
      <c r="AY11" s="912"/>
      <c r="AZ11" s="912"/>
      <c r="BA11" s="655"/>
      <c r="BB11" s="655"/>
      <c r="BC11" s="655"/>
      <c r="BD11" s="655"/>
      <c r="BE11" s="655"/>
      <c r="BF11" s="655"/>
      <c r="BG11" s="655"/>
      <c r="BH11" s="655"/>
      <c r="BI11" s="655"/>
      <c r="BJ11" s="655"/>
      <c r="BK11" s="655"/>
      <c r="BL11" s="655"/>
      <c r="BM11" s="655"/>
      <c r="BN11" s="655"/>
      <c r="BO11" s="655"/>
      <c r="BP11" s="655"/>
      <c r="BQ11" s="655"/>
      <c r="BR11" s="655"/>
      <c r="BS11" s="655"/>
      <c r="BT11" s="655"/>
      <c r="BU11" s="655"/>
      <c r="BV11" s="655"/>
      <c r="BW11" s="655"/>
      <c r="BX11" s="655"/>
      <c r="BY11" s="655"/>
      <c r="BZ11" s="655"/>
    </row>
    <row r="12" spans="1:78" s="904" customFormat="1" ht="16.5" customHeight="1" x14ac:dyDescent="0.25">
      <c r="A12" s="306" t="s">
        <v>41</v>
      </c>
      <c r="B12" s="1563"/>
      <c r="C12" s="1563"/>
      <c r="D12" s="275"/>
      <c r="E12" s="275"/>
      <c r="F12" s="275"/>
      <c r="G12" s="275"/>
      <c r="H12" s="275"/>
      <c r="I12" s="275"/>
      <c r="J12" s="275"/>
      <c r="K12" s="286"/>
      <c r="L12" s="912"/>
      <c r="M12" s="912"/>
      <c r="N12" s="912"/>
      <c r="O12" s="912"/>
      <c r="P12" s="912"/>
      <c r="Q12" s="912"/>
      <c r="R12" s="912"/>
      <c r="S12" s="912"/>
      <c r="T12" s="912"/>
      <c r="U12" s="912"/>
      <c r="V12" s="912"/>
      <c r="W12" s="912"/>
      <c r="X12" s="911"/>
      <c r="Y12" s="911"/>
      <c r="Z12" s="912"/>
      <c r="AA12" s="912"/>
      <c r="AB12" s="911"/>
      <c r="AC12" s="911"/>
      <c r="AN12" s="912"/>
      <c r="AO12" s="912"/>
      <c r="AP12" s="912"/>
      <c r="AQ12" s="912"/>
      <c r="AR12" s="912"/>
      <c r="AS12" s="912"/>
      <c r="AT12" s="912"/>
      <c r="AU12" s="912"/>
      <c r="AV12" s="912"/>
      <c r="AW12" s="912"/>
      <c r="AX12" s="912"/>
      <c r="AY12" s="912"/>
      <c r="AZ12" s="912"/>
      <c r="BA12" s="655"/>
      <c r="BB12" s="655"/>
      <c r="BC12" s="655"/>
      <c r="BD12" s="655"/>
      <c r="BE12" s="655"/>
      <c r="BF12" s="655"/>
      <c r="BG12" s="655"/>
      <c r="BH12" s="655"/>
      <c r="BI12" s="655"/>
      <c r="BJ12" s="655"/>
      <c r="BK12" s="655"/>
      <c r="BL12" s="655"/>
      <c r="BM12" s="655"/>
      <c r="BN12" s="655"/>
      <c r="BO12" s="655"/>
      <c r="BP12" s="655"/>
      <c r="BQ12" s="655"/>
      <c r="BR12" s="655"/>
      <c r="BS12" s="655"/>
      <c r="BT12" s="655"/>
      <c r="BU12" s="655"/>
      <c r="BV12" s="655"/>
      <c r="BW12" s="655"/>
      <c r="BX12" s="655"/>
      <c r="BY12" s="655"/>
      <c r="BZ12" s="655"/>
    </row>
    <row r="13" spans="1:78" s="904" customFormat="1" ht="16.5" customHeight="1" x14ac:dyDescent="0.25">
      <c r="A13" s="306" t="s">
        <v>42</v>
      </c>
      <c r="B13" s="1469"/>
      <c r="C13" s="1469"/>
      <c r="D13" s="275"/>
      <c r="E13" s="275"/>
      <c r="F13" s="275"/>
      <c r="G13" s="275"/>
      <c r="H13" s="275"/>
      <c r="I13" s="275"/>
      <c r="J13" s="275"/>
      <c r="K13" s="286"/>
      <c r="L13" s="1509" t="s">
        <v>145</v>
      </c>
      <c r="M13" s="1510"/>
      <c r="N13" s="1511"/>
      <c r="O13" s="912"/>
      <c r="P13" s="1512" t="s">
        <v>147</v>
      </c>
      <c r="Q13" s="1513"/>
      <c r="R13" s="1513"/>
      <c r="S13" s="1513"/>
      <c r="T13" s="1513"/>
      <c r="U13" s="1514"/>
      <c r="V13" s="232"/>
      <c r="W13" s="267"/>
      <c r="X13" s="268"/>
      <c r="Y13" s="268"/>
      <c r="Z13" s="269"/>
      <c r="AA13" s="269"/>
      <c r="AB13" s="268"/>
      <c r="AC13" s="270"/>
      <c r="AN13" s="912"/>
      <c r="AO13" s="912"/>
      <c r="AP13" s="912"/>
      <c r="AQ13" s="912"/>
      <c r="AR13" s="912"/>
      <c r="AS13" s="912"/>
      <c r="AT13" s="912"/>
      <c r="AU13" s="912"/>
      <c r="AV13" s="912"/>
      <c r="AW13" s="912"/>
      <c r="AX13" s="912"/>
      <c r="AY13" s="912"/>
      <c r="AZ13" s="912"/>
      <c r="BA13" s="655"/>
      <c r="BB13" s="655"/>
      <c r="BC13" s="655"/>
      <c r="BD13" s="655"/>
      <c r="BE13" s="655"/>
      <c r="BF13" s="655"/>
      <c r="BG13" s="655"/>
      <c r="BH13" s="655"/>
      <c r="BI13" s="655"/>
      <c r="BJ13" s="655"/>
      <c r="BK13" s="655"/>
      <c r="BL13" s="655"/>
      <c r="BM13" s="655"/>
      <c r="BN13" s="655"/>
      <c r="BO13" s="655"/>
      <c r="BP13" s="655"/>
      <c r="BQ13" s="655"/>
      <c r="BR13" s="655"/>
      <c r="BS13" s="655"/>
      <c r="BT13" s="655"/>
      <c r="BU13" s="655"/>
      <c r="BV13" s="655"/>
      <c r="BW13" s="655"/>
      <c r="BX13" s="655"/>
      <c r="BY13" s="655"/>
      <c r="BZ13" s="655"/>
    </row>
    <row r="14" spans="1:78" s="904" customFormat="1" ht="16.5" customHeight="1" x14ac:dyDescent="0.25">
      <c r="A14" s="306" t="s">
        <v>43</v>
      </c>
      <c r="B14" s="1469"/>
      <c r="C14" s="1469"/>
      <c r="D14" s="275"/>
      <c r="E14" s="275"/>
      <c r="F14" s="275"/>
      <c r="G14" s="275"/>
      <c r="H14" s="275"/>
      <c r="I14" s="275"/>
      <c r="J14" s="275"/>
      <c r="K14" s="286"/>
      <c r="L14" s="233"/>
      <c r="M14" s="1557" t="s">
        <v>195</v>
      </c>
      <c r="N14" s="234"/>
      <c r="O14" s="912"/>
      <c r="P14" s="235"/>
      <c r="Q14" s="236"/>
      <c r="R14" s="237"/>
      <c r="S14" s="1499" t="s">
        <v>154</v>
      </c>
      <c r="T14" s="1499" t="s">
        <v>155</v>
      </c>
      <c r="U14" s="238"/>
      <c r="V14" s="239"/>
      <c r="W14" s="1479" t="s">
        <v>162</v>
      </c>
      <c r="X14" s="1480"/>
      <c r="Y14" s="1480"/>
      <c r="Z14" s="1480"/>
      <c r="AA14" s="1480"/>
      <c r="AB14" s="1480"/>
      <c r="AC14" s="1481"/>
      <c r="AE14" s="1548" t="s">
        <v>187</v>
      </c>
      <c r="AF14" s="1548"/>
      <c r="AG14" s="867"/>
      <c r="AH14" s="1548" t="s">
        <v>187</v>
      </c>
      <c r="AI14" s="1548"/>
      <c r="AJ14" s="867"/>
      <c r="AK14" s="1549" t="s">
        <v>187</v>
      </c>
      <c r="AL14" s="1549"/>
      <c r="AM14" s="867"/>
      <c r="AN14" s="912"/>
      <c r="AO14" s="912"/>
      <c r="AP14" s="912"/>
      <c r="AQ14" s="912"/>
      <c r="AR14" s="912"/>
      <c r="AS14" s="912"/>
      <c r="AT14" s="912"/>
      <c r="AU14" s="912"/>
      <c r="AV14" s="912"/>
      <c r="AW14" s="912"/>
      <c r="AX14" s="912"/>
      <c r="AY14" s="912"/>
      <c r="AZ14" s="912"/>
      <c r="BA14" s="655"/>
      <c r="BB14" s="655"/>
      <c r="BC14" s="655"/>
      <c r="BD14" s="655"/>
      <c r="BE14" s="655"/>
      <c r="BF14" s="655"/>
      <c r="BG14" s="655"/>
      <c r="BH14" s="655"/>
      <c r="BI14" s="655"/>
      <c r="BJ14" s="655"/>
      <c r="BK14" s="655"/>
      <c r="BL14" s="655"/>
      <c r="BM14" s="655"/>
      <c r="BN14" s="655"/>
      <c r="BO14" s="655"/>
      <c r="BP14" s="655"/>
      <c r="BQ14" s="655"/>
      <c r="BR14" s="655"/>
      <c r="BS14" s="655"/>
      <c r="BT14" s="655"/>
      <c r="BU14" s="655"/>
      <c r="BV14" s="655"/>
      <c r="BW14" s="655"/>
      <c r="BX14" s="655"/>
      <c r="BY14" s="655"/>
      <c r="BZ14" s="655"/>
    </row>
    <row r="15" spans="1:78" s="904" customFormat="1" ht="16.5" customHeight="1" x14ac:dyDescent="0.3">
      <c r="A15" s="305" t="s">
        <v>105</v>
      </c>
      <c r="B15" s="275" t="s">
        <v>0</v>
      </c>
      <c r="C15" s="282"/>
      <c r="D15" s="275"/>
      <c r="E15" s="275"/>
      <c r="F15" s="275"/>
      <c r="G15" s="275"/>
      <c r="H15" s="275"/>
      <c r="I15" s="1550" t="s">
        <v>44</v>
      </c>
      <c r="J15" s="1551"/>
      <c r="K15" s="1552"/>
      <c r="L15" s="233"/>
      <c r="M15" s="1557"/>
      <c r="N15" s="234"/>
      <c r="O15" s="912"/>
      <c r="P15" s="1553" t="s">
        <v>148</v>
      </c>
      <c r="Q15" s="1499" t="s">
        <v>151</v>
      </c>
      <c r="R15" s="1499" t="s">
        <v>152</v>
      </c>
      <c r="S15" s="1499"/>
      <c r="T15" s="1499"/>
      <c r="U15" s="238"/>
      <c r="V15" s="239"/>
      <c r="W15" s="1479"/>
      <c r="X15" s="1480"/>
      <c r="Y15" s="1480"/>
      <c r="Z15" s="1480"/>
      <c r="AA15" s="1480"/>
      <c r="AB15" s="1480"/>
      <c r="AC15" s="1481"/>
      <c r="AE15" s="138" t="s">
        <v>157</v>
      </c>
      <c r="AF15" s="138" t="s">
        <v>158</v>
      </c>
      <c r="AG15" s="9"/>
      <c r="AH15" s="138" t="s">
        <v>157</v>
      </c>
      <c r="AI15" s="138" t="s">
        <v>158</v>
      </c>
      <c r="AJ15" s="867"/>
      <c r="AK15" s="138" t="s">
        <v>157</v>
      </c>
      <c r="AL15" s="138" t="s">
        <v>158</v>
      </c>
      <c r="AM15" s="904" t="s">
        <v>4</v>
      </c>
      <c r="AN15" s="912"/>
      <c r="AO15" s="912"/>
      <c r="AP15" s="912"/>
      <c r="AQ15" s="912"/>
      <c r="AR15" s="912"/>
      <c r="AS15" s="912"/>
      <c r="AT15" s="912"/>
      <c r="AU15" s="912"/>
      <c r="AV15" s="912"/>
      <c r="AW15" s="912"/>
      <c r="AX15" s="912"/>
      <c r="AY15" s="912"/>
      <c r="AZ15" s="912"/>
      <c r="BA15" s="655"/>
      <c r="BB15" s="655"/>
      <c r="BC15" s="655"/>
      <c r="BD15" s="655"/>
      <c r="BE15" s="655"/>
      <c r="BF15" s="655"/>
      <c r="BG15" s="655"/>
      <c r="BH15" s="655"/>
      <c r="BI15" s="655"/>
      <c r="BJ15" s="655"/>
      <c r="BK15" s="655"/>
      <c r="BL15" s="655"/>
      <c r="BM15" s="655"/>
      <c r="BN15" s="655"/>
      <c r="BO15" s="655"/>
      <c r="BP15" s="655"/>
      <c r="BQ15" s="655"/>
      <c r="BR15" s="655"/>
      <c r="BS15" s="655"/>
      <c r="BT15" s="655"/>
      <c r="BU15" s="655"/>
      <c r="BV15" s="655"/>
      <c r="BW15" s="655"/>
      <c r="BX15" s="655"/>
      <c r="BY15" s="655"/>
      <c r="BZ15" s="655"/>
    </row>
    <row r="16" spans="1:78" ht="16.5" customHeight="1" x14ac:dyDescent="0.25">
      <c r="A16" s="866"/>
      <c r="B16" s="891" t="str">
        <f>IF(Sample_SetUp!G11="Yes","All future budget years are the same as the Y1 budget.",IF(Sample_SetUp!G11="Yes, except for equipment in Year 1.","Future budget years are the same as the Y1 budget except for equipment which is only in Y1."," "))</f>
        <v>Future budget years are the same as the Y1 budget except for equipment which is only in Y1.</v>
      </c>
      <c r="C16" s="262"/>
      <c r="D16" s="262"/>
      <c r="E16" s="262"/>
      <c r="F16" s="262"/>
      <c r="G16" s="262"/>
      <c r="H16" s="262"/>
      <c r="I16" s="287" t="s">
        <v>22</v>
      </c>
      <c r="J16" s="288"/>
      <c r="K16" s="289">
        <v>0.28000000000000003</v>
      </c>
      <c r="L16" s="1555" t="s">
        <v>141</v>
      </c>
      <c r="M16" s="1557"/>
      <c r="N16" s="240"/>
      <c r="O16" s="866"/>
      <c r="P16" s="1553"/>
      <c r="Q16" s="1499"/>
      <c r="R16" s="1499"/>
      <c r="S16" s="1499"/>
      <c r="T16" s="1499"/>
      <c r="U16" s="238"/>
      <c r="V16" s="239"/>
      <c r="W16" s="271"/>
      <c r="X16" s="272"/>
      <c r="Y16" s="272"/>
      <c r="Z16" s="262"/>
      <c r="AA16" s="262"/>
      <c r="AB16" s="272"/>
      <c r="AC16" s="273"/>
    </row>
    <row r="17" spans="1:39" ht="16.5" customHeight="1" x14ac:dyDescent="0.25">
      <c r="A17" s="93" t="s">
        <v>28</v>
      </c>
      <c r="B17" s="94"/>
      <c r="C17" s="329"/>
      <c r="D17" s="329"/>
      <c r="E17" s="329"/>
      <c r="F17" s="329"/>
      <c r="G17" s="329"/>
      <c r="H17" s="330"/>
      <c r="I17" s="290" t="s">
        <v>21</v>
      </c>
      <c r="J17" s="291"/>
      <c r="K17" s="292">
        <v>0.28999999999999998</v>
      </c>
      <c r="L17" s="1555"/>
      <c r="M17" s="1557"/>
      <c r="N17" s="240"/>
      <c r="O17" s="866"/>
      <c r="P17" s="1553"/>
      <c r="Q17" s="1499"/>
      <c r="R17" s="1499"/>
      <c r="S17" s="1499"/>
      <c r="T17" s="1499"/>
      <c r="U17" s="238"/>
      <c r="V17" s="239"/>
      <c r="W17" s="274"/>
      <c r="X17" s="272"/>
      <c r="Y17" s="275" t="s">
        <v>31</v>
      </c>
      <c r="Z17" s="262"/>
      <c r="AA17" s="275" t="s">
        <v>185</v>
      </c>
      <c r="AB17" s="272" t="s">
        <v>203</v>
      </c>
      <c r="AC17" s="273" t="s">
        <v>204</v>
      </c>
      <c r="AE17" s="64" t="s">
        <v>31</v>
      </c>
    </row>
    <row r="18" spans="1:39" ht="16.5" customHeight="1" x14ac:dyDescent="0.25">
      <c r="A18" s="38" t="s">
        <v>5</v>
      </c>
      <c r="B18" s="37"/>
      <c r="C18" s="331"/>
      <c r="D18" s="1559" t="s">
        <v>143</v>
      </c>
      <c r="E18" s="1559"/>
      <c r="F18" s="1559" t="s">
        <v>144</v>
      </c>
      <c r="G18" s="1559"/>
      <c r="H18" s="262"/>
      <c r="I18" s="866"/>
      <c r="J18" s="866"/>
      <c r="K18" s="332" t="s">
        <v>160</v>
      </c>
      <c r="L18" s="1556"/>
      <c r="M18" s="1558"/>
      <c r="N18" s="241" t="s">
        <v>131</v>
      </c>
      <c r="O18" s="866"/>
      <c r="P18" s="1554"/>
      <c r="Q18" s="1500"/>
      <c r="R18" s="1500"/>
      <c r="S18" s="1500"/>
      <c r="T18" s="1500"/>
      <c r="U18" s="242"/>
      <c r="V18" s="239"/>
      <c r="W18" s="274"/>
      <c r="X18" s="276"/>
      <c r="Y18" s="276"/>
      <c r="Z18" s="277" t="s">
        <v>36</v>
      </c>
      <c r="AA18" s="275" t="s">
        <v>186</v>
      </c>
      <c r="AB18" s="278" t="s">
        <v>136</v>
      </c>
      <c r="AC18" s="279" t="s">
        <v>137</v>
      </c>
    </row>
    <row r="19" spans="1:39" ht="30" customHeight="1" thickBot="1" x14ac:dyDescent="0.3">
      <c r="A19" s="92" t="s">
        <v>36</v>
      </c>
      <c r="B19" s="91" t="s">
        <v>25</v>
      </c>
      <c r="C19" s="333" t="s">
        <v>27</v>
      </c>
      <c r="D19" s="333" t="s">
        <v>6</v>
      </c>
      <c r="E19" s="333" t="s">
        <v>20</v>
      </c>
      <c r="F19" s="333" t="s">
        <v>6</v>
      </c>
      <c r="G19" s="333" t="s">
        <v>20</v>
      </c>
      <c r="H19" s="334" t="s">
        <v>7</v>
      </c>
      <c r="I19" s="334" t="s">
        <v>54</v>
      </c>
      <c r="J19" s="334" t="s">
        <v>55</v>
      </c>
      <c r="K19" s="335" t="s">
        <v>8</v>
      </c>
      <c r="L19" s="243"/>
      <c r="M19" s="244"/>
      <c r="N19" s="245"/>
      <c r="O19" s="866"/>
      <c r="P19" s="243"/>
      <c r="Q19" s="244"/>
      <c r="R19" s="244"/>
      <c r="S19" s="244"/>
      <c r="T19" s="244"/>
      <c r="U19" s="245"/>
      <c r="V19" s="246"/>
      <c r="W19" s="488"/>
      <c r="X19" s="489"/>
      <c r="Y19" s="490"/>
      <c r="Z19" s="491"/>
      <c r="AA19" s="1465" t="s">
        <v>160</v>
      </c>
      <c r="AB19" s="1465"/>
      <c r="AC19" s="1466"/>
      <c r="AE19" s="1472" t="s">
        <v>159</v>
      </c>
      <c r="AF19" s="1472"/>
      <c r="AH19" s="1473" t="s">
        <v>160</v>
      </c>
      <c r="AI19" s="1473"/>
      <c r="AK19" s="1474" t="s">
        <v>161</v>
      </c>
      <c r="AL19" s="1474"/>
      <c r="AM19" s="1474"/>
    </row>
    <row r="20" spans="1:39" ht="16.5" customHeight="1" thickTop="1" thickBot="1" x14ac:dyDescent="0.3">
      <c r="A20" s="910" t="s">
        <v>498</v>
      </c>
      <c r="B20" s="226" t="s">
        <v>458</v>
      </c>
      <c r="C20" s="227">
        <v>175000</v>
      </c>
      <c r="D20" s="875">
        <v>0.2</v>
      </c>
      <c r="E20" s="40">
        <f t="shared" ref="E20:E27" si="0">D20*12</f>
        <v>2.4000000000000004</v>
      </c>
      <c r="F20" s="223" t="str">
        <f t="shared" ref="F20:F27" si="1">IF(L20=12, "n/a ", IF(AND(L20&lt;12, M20="Yes"), "n/a", D20*N20))</f>
        <v xml:space="preserve">n/a </v>
      </c>
      <c r="G20" s="224" t="str">
        <f t="shared" ref="G20:G27" si="2">IF(L20=12,"n/a",IF(AND(L20&lt;12,M20="Yes"),"n/a",F20*12))</f>
        <v>n/a</v>
      </c>
      <c r="H20" s="22">
        <f>IF(AND(E117="Yes",C20&gt;F127),F127*D20*N20,IF(AND(L20=12,P20="Yes"),C20*S20,IF(AND(L20&lt;12,P20="Yes"),C20*N20*S20,C20*D20*N20)))</f>
        <v>35000</v>
      </c>
      <c r="I20" s="41">
        <f>IF(AND(SetUp!$C$4="No",$I$216="No"),$J$217,IF(AND(SetUp!$C$4="No",$I$216="Yes"),$K$17,$K$16))</f>
        <v>0.28000000000000003</v>
      </c>
      <c r="J20" s="22">
        <f t="shared" ref="J20:J27" si="3">H20*I20</f>
        <v>9800.0000000000018</v>
      </c>
      <c r="K20" s="398">
        <f t="shared" ref="K20:K27" si="4">H20+J20</f>
        <v>44800</v>
      </c>
      <c r="L20" s="836">
        <v>12</v>
      </c>
      <c r="M20" s="876" t="s">
        <v>60</v>
      </c>
      <c r="N20" s="637">
        <f t="shared" ref="N20:N27" si="5">L20/12</f>
        <v>1</v>
      </c>
      <c r="P20" s="877" t="s">
        <v>60</v>
      </c>
      <c r="Q20" s="248" t="str">
        <f t="shared" ref="Q20:Q27" si="6">IF(P20="No", " ", S20/D20)</f>
        <v xml:space="preserve"> </v>
      </c>
      <c r="R20" s="249" t="str">
        <f>IF(P20="No", " ", 1-Q20)</f>
        <v xml:space="preserve"> </v>
      </c>
      <c r="S20" s="846"/>
      <c r="T20" s="254" t="str">
        <f>IF(AND(L20=12,P20="Yes"),D20-S20,IF(AND(L20&lt;12,P20="Yes"),F20-S20," "))</f>
        <v xml:space="preserve"> </v>
      </c>
      <c r="U20" s="255" t="str">
        <f>IF(AND(L20=12,P20="Yes",S20&gt;D20),"ERROR",IF(AND(L20&lt;12,P20="Yes",S20&gt;F20),"ERROR"," "))</f>
        <v xml:space="preserve"> </v>
      </c>
      <c r="V20" s="136"/>
      <c r="W20" s="258"/>
      <c r="X20" s="259"/>
      <c r="Y20" s="259"/>
      <c r="Z20" s="302" t="str">
        <f t="shared" ref="Z20:Z27" si="7">A20</f>
        <v>Ann B. Dextrous</v>
      </c>
      <c r="AA20" s="303">
        <f t="shared" ref="AA20:AA27" si="8">K20</f>
        <v>44800</v>
      </c>
      <c r="AB20" s="837">
        <v>0.5</v>
      </c>
      <c r="AC20" s="264">
        <f>1-AB20</f>
        <v>0.5</v>
      </c>
      <c r="AE20" s="4">
        <f t="shared" ref="AE20:AE27" si="9">K20*X20</f>
        <v>0</v>
      </c>
      <c r="AF20" s="4">
        <f t="shared" ref="AF20:AF27" si="10">K20*Y20</f>
        <v>0</v>
      </c>
      <c r="AH20" s="4">
        <f t="shared" ref="AH20:AH27" si="11">K20*AB20</f>
        <v>22400</v>
      </c>
      <c r="AI20" s="4">
        <f t="shared" ref="AI20:AI27" si="12">K20*AC20</f>
        <v>22400</v>
      </c>
      <c r="AK20" s="4">
        <f t="shared" ref="AK20:AL27" si="13">AE20+AH20</f>
        <v>22400</v>
      </c>
      <c r="AL20" s="4">
        <f t="shared" si="13"/>
        <v>22400</v>
      </c>
      <c r="AM20" s="4">
        <f>AK20+AL20</f>
        <v>44800</v>
      </c>
    </row>
    <row r="21" spans="1:39" ht="16.5" customHeight="1" thickTop="1" thickBot="1" x14ac:dyDescent="0.3">
      <c r="A21" s="910" t="s">
        <v>470</v>
      </c>
      <c r="B21" s="226" t="s">
        <v>461</v>
      </c>
      <c r="C21" s="227">
        <v>125000</v>
      </c>
      <c r="D21" s="875">
        <v>0.1</v>
      </c>
      <c r="E21" s="40">
        <f t="shared" si="0"/>
        <v>1.2000000000000002</v>
      </c>
      <c r="F21" s="223" t="str">
        <f t="shared" si="1"/>
        <v xml:space="preserve">n/a </v>
      </c>
      <c r="G21" s="224" t="str">
        <f t="shared" si="2"/>
        <v>n/a</v>
      </c>
      <c r="H21" s="22">
        <f>IF(AND(L21=12,P21="Yes"),C21*S21,IF(AND(L21&lt;12,P21="Yes"),C21*N21*S21,IF(AND(M21="Yes",P21="No"),C21*D21*N21,C21*D21*N21)))</f>
        <v>6250</v>
      </c>
      <c r="I21" s="41">
        <f>IF(AND(SetUp!$C$4="No",$I$216="No"),$J$217,IF(AND(SetUp!$C$4="No",$I$216="Yes"),$K$17,$K$16))</f>
        <v>0.28000000000000003</v>
      </c>
      <c r="J21" s="22">
        <f t="shared" si="3"/>
        <v>1750.0000000000002</v>
      </c>
      <c r="K21" s="513">
        <f t="shared" si="4"/>
        <v>8000</v>
      </c>
      <c r="L21" s="836">
        <v>12</v>
      </c>
      <c r="M21" s="876" t="s">
        <v>60</v>
      </c>
      <c r="N21" s="637">
        <f t="shared" si="5"/>
        <v>1</v>
      </c>
      <c r="P21" s="877" t="s">
        <v>59</v>
      </c>
      <c r="Q21" s="248">
        <f t="shared" si="6"/>
        <v>0.5</v>
      </c>
      <c r="R21" s="250">
        <f t="shared" ref="R21:R27" si="14">IF(P21="No", " ", 1-Q21)</f>
        <v>0.5</v>
      </c>
      <c r="S21" s="846">
        <v>0.05</v>
      </c>
      <c r="T21" s="254">
        <f>IF(AND(L21=12,P21="Yes"),D21-S21,IF(AND(L21&lt;12,P21="Yes"),F21-S21," "))</f>
        <v>0.05</v>
      </c>
      <c r="U21" s="256" t="str">
        <f>IF(AND(L21=12,P21="Yes",S21&gt;D21),"ERROR",IF(AND(L21&lt;12,P21="Yes",S21&gt;F21),"ERROR"," "))</f>
        <v xml:space="preserve"> </v>
      </c>
      <c r="V21" s="136"/>
      <c r="W21" s="258"/>
      <c r="X21" s="259"/>
      <c r="Y21" s="259"/>
      <c r="Z21" s="302" t="str">
        <f t="shared" si="7"/>
        <v>Barney Bailey</v>
      </c>
      <c r="AA21" s="303">
        <f t="shared" si="8"/>
        <v>8000</v>
      </c>
      <c r="AB21" s="837">
        <v>1</v>
      </c>
      <c r="AC21" s="264">
        <f t="shared" ref="AC21:AC27" si="15">1-AB21</f>
        <v>0</v>
      </c>
      <c r="AE21" s="4">
        <f t="shared" si="9"/>
        <v>0</v>
      </c>
      <c r="AF21" s="4">
        <f t="shared" si="10"/>
        <v>0</v>
      </c>
      <c r="AH21" s="4">
        <f t="shared" si="11"/>
        <v>8000</v>
      </c>
      <c r="AI21" s="4">
        <f t="shared" si="12"/>
        <v>0</v>
      </c>
      <c r="AK21" s="4">
        <f t="shared" si="13"/>
        <v>8000</v>
      </c>
      <c r="AL21" s="4">
        <f t="shared" si="13"/>
        <v>0</v>
      </c>
      <c r="AM21" s="4">
        <f t="shared" ref="AM21:AM28" si="16">AK21+AL21</f>
        <v>8000</v>
      </c>
    </row>
    <row r="22" spans="1:39" ht="16.5" customHeight="1" thickTop="1" thickBot="1" x14ac:dyDescent="0.3">
      <c r="A22" s="910" t="s">
        <v>459</v>
      </c>
      <c r="B22" s="226" t="s">
        <v>462</v>
      </c>
      <c r="C22" s="227"/>
      <c r="D22" s="875">
        <v>0.5</v>
      </c>
      <c r="E22" s="40">
        <f t="shared" si="0"/>
        <v>6</v>
      </c>
      <c r="F22" s="223" t="str">
        <f t="shared" si="1"/>
        <v xml:space="preserve">n/a </v>
      </c>
      <c r="G22" s="224" t="str">
        <f t="shared" si="2"/>
        <v>n/a</v>
      </c>
      <c r="H22" s="22">
        <f t="shared" ref="H22:H27" si="17">IF(AND(L22=12,P22="Yes"),C22*S22,IF(AND(L22&lt;12,P22="Yes"),C22*N22*S22,IF(AND(M22="Yes",P22="No"),C22*D22*N22,C22*D22*N22)))</f>
        <v>0</v>
      </c>
      <c r="I22" s="41">
        <f>IF(AND(SetUp!$C$4="No",$I$216="No"),$J$217,IF(AND(SetUp!$C$4="No",$I$216="Yes"),$K$17,$K$16))</f>
        <v>0.28000000000000003</v>
      </c>
      <c r="J22" s="22">
        <f t="shared" si="3"/>
        <v>0</v>
      </c>
      <c r="K22" s="513">
        <f t="shared" si="4"/>
        <v>0</v>
      </c>
      <c r="L22" s="836">
        <v>12</v>
      </c>
      <c r="M22" s="876" t="s">
        <v>60</v>
      </c>
      <c r="N22" s="637">
        <f t="shared" si="5"/>
        <v>1</v>
      </c>
      <c r="P22" s="877" t="s">
        <v>60</v>
      </c>
      <c r="Q22" s="248" t="str">
        <f t="shared" si="6"/>
        <v xml:space="preserve"> </v>
      </c>
      <c r="R22" s="250" t="str">
        <f t="shared" si="14"/>
        <v xml:space="preserve"> </v>
      </c>
      <c r="S22" s="846"/>
      <c r="T22" s="254" t="str">
        <f t="shared" ref="T22:T27" si="18">IF(AND(L22=12,P22="Yes"),D22-S22,IF(AND(L22&lt;12,P22="Yes"),F22-S22," "))</f>
        <v xml:space="preserve"> </v>
      </c>
      <c r="U22" s="256" t="str">
        <f t="shared" ref="U22:U27" si="19">IF(AND(L22=12,P22="Yes",S22&gt;D22),"ERROR",IF(AND(L22&lt;12,P22="Yes",S22&gt;F22),"ERROR"," "))</f>
        <v xml:space="preserve"> </v>
      </c>
      <c r="V22" s="136"/>
      <c r="W22" s="258"/>
      <c r="X22" s="259"/>
      <c r="Y22" s="259"/>
      <c r="Z22" s="302" t="str">
        <f t="shared" si="7"/>
        <v>Emma Starr Treigny</v>
      </c>
      <c r="AA22" s="303">
        <f t="shared" si="8"/>
        <v>0</v>
      </c>
      <c r="AB22" s="837"/>
      <c r="AC22" s="264">
        <f t="shared" si="15"/>
        <v>1</v>
      </c>
      <c r="AE22" s="4">
        <f t="shared" si="9"/>
        <v>0</v>
      </c>
      <c r="AF22" s="4">
        <f t="shared" si="10"/>
        <v>0</v>
      </c>
      <c r="AH22" s="4">
        <f t="shared" si="11"/>
        <v>0</v>
      </c>
      <c r="AI22" s="4">
        <f t="shared" si="12"/>
        <v>0</v>
      </c>
      <c r="AK22" s="4">
        <f t="shared" si="13"/>
        <v>0</v>
      </c>
      <c r="AL22" s="4">
        <f t="shared" si="13"/>
        <v>0</v>
      </c>
      <c r="AM22" s="4">
        <f t="shared" si="16"/>
        <v>0</v>
      </c>
    </row>
    <row r="23" spans="1:39" ht="16.5" customHeight="1" thickTop="1" thickBot="1" x14ac:dyDescent="0.3">
      <c r="A23" s="910" t="s">
        <v>497</v>
      </c>
      <c r="B23" s="226" t="s">
        <v>460</v>
      </c>
      <c r="C23" s="227">
        <v>32000</v>
      </c>
      <c r="D23" s="875">
        <v>0.5</v>
      </c>
      <c r="E23" s="40">
        <f t="shared" si="0"/>
        <v>6</v>
      </c>
      <c r="F23" s="223" t="str">
        <f t="shared" si="1"/>
        <v xml:space="preserve">n/a </v>
      </c>
      <c r="G23" s="224" t="str">
        <f t="shared" si="2"/>
        <v>n/a</v>
      </c>
      <c r="H23" s="22">
        <f t="shared" si="17"/>
        <v>16000</v>
      </c>
      <c r="I23" s="41">
        <f>IF(AND(SetUp!$C$4="No",$I$216="No"),$J$217,IF(AND(SetUp!$C$4="No",$I$216="Yes"),$K$17,$K$16))</f>
        <v>0.28000000000000003</v>
      </c>
      <c r="J23" s="22">
        <f t="shared" si="3"/>
        <v>4480</v>
      </c>
      <c r="K23" s="513">
        <f t="shared" si="4"/>
        <v>20480</v>
      </c>
      <c r="L23" s="836">
        <v>12</v>
      </c>
      <c r="M23" s="876" t="s">
        <v>60</v>
      </c>
      <c r="N23" s="637">
        <f t="shared" si="5"/>
        <v>1</v>
      </c>
      <c r="P23" s="877" t="s">
        <v>60</v>
      </c>
      <c r="Q23" s="248" t="str">
        <f t="shared" si="6"/>
        <v xml:space="preserve"> </v>
      </c>
      <c r="R23" s="250" t="str">
        <f t="shared" si="14"/>
        <v xml:space="preserve"> </v>
      </c>
      <c r="S23" s="846"/>
      <c r="T23" s="254" t="str">
        <f t="shared" si="18"/>
        <v xml:space="preserve"> </v>
      </c>
      <c r="U23" s="256" t="str">
        <f t="shared" si="19"/>
        <v xml:space="preserve"> </v>
      </c>
      <c r="V23" s="136"/>
      <c r="W23" s="258"/>
      <c r="X23" s="259"/>
      <c r="Y23" s="259"/>
      <c r="Z23" s="302" t="str">
        <f t="shared" si="7"/>
        <v>Laura Leftkowitz</v>
      </c>
      <c r="AA23" s="303">
        <f t="shared" si="8"/>
        <v>20480</v>
      </c>
      <c r="AB23" s="837">
        <v>1</v>
      </c>
      <c r="AC23" s="264">
        <f t="shared" si="15"/>
        <v>0</v>
      </c>
      <c r="AE23" s="4">
        <f t="shared" si="9"/>
        <v>0</v>
      </c>
      <c r="AF23" s="4">
        <f t="shared" si="10"/>
        <v>0</v>
      </c>
      <c r="AH23" s="4">
        <f t="shared" si="11"/>
        <v>20480</v>
      </c>
      <c r="AI23" s="4">
        <f t="shared" si="12"/>
        <v>0</v>
      </c>
      <c r="AK23" s="4">
        <f t="shared" si="13"/>
        <v>20480</v>
      </c>
      <c r="AL23" s="4">
        <f t="shared" si="13"/>
        <v>0</v>
      </c>
      <c r="AM23" s="4">
        <f t="shared" si="16"/>
        <v>20480</v>
      </c>
    </row>
    <row r="24" spans="1:39" ht="16.5" customHeight="1" thickTop="1" thickBot="1" x14ac:dyDescent="0.3">
      <c r="A24" s="910"/>
      <c r="B24" s="226"/>
      <c r="C24" s="227"/>
      <c r="D24" s="875"/>
      <c r="E24" s="40">
        <f t="shared" si="0"/>
        <v>0</v>
      </c>
      <c r="F24" s="223" t="str">
        <f t="shared" si="1"/>
        <v xml:space="preserve">n/a </v>
      </c>
      <c r="G24" s="224" t="str">
        <f t="shared" si="2"/>
        <v>n/a</v>
      </c>
      <c r="H24" s="22">
        <f t="shared" si="17"/>
        <v>0</v>
      </c>
      <c r="I24" s="41">
        <f>IF(AND(SetUp!$C$4="No",$I$216="No"),$J$217,IF(AND(SetUp!$C$4="No",$I$216="Yes"),$K$17,$K$16))</f>
        <v>0.28000000000000003</v>
      </c>
      <c r="J24" s="22">
        <f t="shared" si="3"/>
        <v>0</v>
      </c>
      <c r="K24" s="513">
        <f t="shared" si="4"/>
        <v>0</v>
      </c>
      <c r="L24" s="836">
        <v>12</v>
      </c>
      <c r="M24" s="876" t="s">
        <v>60</v>
      </c>
      <c r="N24" s="637">
        <f t="shared" si="5"/>
        <v>1</v>
      </c>
      <c r="P24" s="877" t="s">
        <v>60</v>
      </c>
      <c r="Q24" s="248" t="str">
        <f t="shared" si="6"/>
        <v xml:space="preserve"> </v>
      </c>
      <c r="R24" s="250" t="str">
        <f t="shared" si="14"/>
        <v xml:space="preserve"> </v>
      </c>
      <c r="S24" s="846"/>
      <c r="T24" s="254" t="str">
        <f t="shared" si="18"/>
        <v xml:space="preserve"> </v>
      </c>
      <c r="U24" s="256" t="str">
        <f t="shared" si="19"/>
        <v xml:space="preserve"> </v>
      </c>
      <c r="V24" s="136"/>
      <c r="W24" s="258"/>
      <c r="X24" s="259"/>
      <c r="Y24" s="259"/>
      <c r="Z24" s="302">
        <f t="shared" si="7"/>
        <v>0</v>
      </c>
      <c r="AA24" s="303">
        <f t="shared" si="8"/>
        <v>0</v>
      </c>
      <c r="AB24" s="837"/>
      <c r="AC24" s="264">
        <f t="shared" si="15"/>
        <v>1</v>
      </c>
      <c r="AE24" s="4">
        <f t="shared" si="9"/>
        <v>0</v>
      </c>
      <c r="AF24" s="4">
        <f t="shared" si="10"/>
        <v>0</v>
      </c>
      <c r="AH24" s="4">
        <f t="shared" si="11"/>
        <v>0</v>
      </c>
      <c r="AI24" s="4">
        <f t="shared" si="12"/>
        <v>0</v>
      </c>
      <c r="AK24" s="4">
        <f t="shared" si="13"/>
        <v>0</v>
      </c>
      <c r="AL24" s="4">
        <f t="shared" si="13"/>
        <v>0</v>
      </c>
      <c r="AM24" s="4">
        <f t="shared" si="16"/>
        <v>0</v>
      </c>
    </row>
    <row r="25" spans="1:39" ht="16.5" customHeight="1" thickTop="1" thickBot="1" x14ac:dyDescent="0.3">
      <c r="A25" s="910"/>
      <c r="B25" s="226"/>
      <c r="C25" s="227"/>
      <c r="D25" s="875"/>
      <c r="E25" s="40">
        <f t="shared" si="0"/>
        <v>0</v>
      </c>
      <c r="F25" s="223" t="str">
        <f t="shared" si="1"/>
        <v xml:space="preserve">n/a </v>
      </c>
      <c r="G25" s="224" t="str">
        <f t="shared" si="2"/>
        <v>n/a</v>
      </c>
      <c r="H25" s="22">
        <f t="shared" si="17"/>
        <v>0</v>
      </c>
      <c r="I25" s="41">
        <f>IF(AND(SetUp!$C$4="No",$I$216="No"),$J$217,IF(AND(SetUp!$C$4="No",$I$216="Yes"),$K$17,$K$16))</f>
        <v>0.28000000000000003</v>
      </c>
      <c r="J25" s="22">
        <f t="shared" si="3"/>
        <v>0</v>
      </c>
      <c r="K25" s="513">
        <f t="shared" si="4"/>
        <v>0</v>
      </c>
      <c r="L25" s="836">
        <v>12</v>
      </c>
      <c r="M25" s="876" t="s">
        <v>60</v>
      </c>
      <c r="N25" s="637">
        <f t="shared" si="5"/>
        <v>1</v>
      </c>
      <c r="P25" s="877" t="s">
        <v>60</v>
      </c>
      <c r="Q25" s="248" t="str">
        <f t="shared" si="6"/>
        <v xml:space="preserve"> </v>
      </c>
      <c r="R25" s="250" t="str">
        <f t="shared" si="14"/>
        <v xml:space="preserve"> </v>
      </c>
      <c r="S25" s="846"/>
      <c r="T25" s="254" t="str">
        <f t="shared" si="18"/>
        <v xml:space="preserve"> </v>
      </c>
      <c r="U25" s="256" t="str">
        <f t="shared" si="19"/>
        <v xml:space="preserve"> </v>
      </c>
      <c r="V25" s="136"/>
      <c r="W25" s="258"/>
      <c r="X25" s="259"/>
      <c r="Y25" s="259"/>
      <c r="Z25" s="302">
        <f t="shared" si="7"/>
        <v>0</v>
      </c>
      <c r="AA25" s="303">
        <f t="shared" si="8"/>
        <v>0</v>
      </c>
      <c r="AB25" s="837"/>
      <c r="AC25" s="264">
        <f t="shared" si="15"/>
        <v>1</v>
      </c>
      <c r="AE25" s="4">
        <f t="shared" si="9"/>
        <v>0</v>
      </c>
      <c r="AF25" s="4">
        <f t="shared" si="10"/>
        <v>0</v>
      </c>
      <c r="AH25" s="4">
        <f t="shared" si="11"/>
        <v>0</v>
      </c>
      <c r="AI25" s="4">
        <f t="shared" si="12"/>
        <v>0</v>
      </c>
      <c r="AK25" s="4">
        <f t="shared" si="13"/>
        <v>0</v>
      </c>
      <c r="AL25" s="4">
        <f t="shared" si="13"/>
        <v>0</v>
      </c>
      <c r="AM25" s="4">
        <f t="shared" si="16"/>
        <v>0</v>
      </c>
    </row>
    <row r="26" spans="1:39" ht="16.5" customHeight="1" thickTop="1" thickBot="1" x14ac:dyDescent="0.3">
      <c r="A26" s="910"/>
      <c r="B26" s="226"/>
      <c r="C26" s="227"/>
      <c r="D26" s="875"/>
      <c r="E26" s="40">
        <f t="shared" si="0"/>
        <v>0</v>
      </c>
      <c r="F26" s="223" t="str">
        <f t="shared" si="1"/>
        <v xml:space="preserve">n/a </v>
      </c>
      <c r="G26" s="224" t="str">
        <f t="shared" si="2"/>
        <v>n/a</v>
      </c>
      <c r="H26" s="22">
        <f t="shared" si="17"/>
        <v>0</v>
      </c>
      <c r="I26" s="41">
        <f>IF(AND(SetUp!$C$4="No",$I$216="No"),$J$217,IF(AND(SetUp!$C$4="No",$I$216="Yes"),$K$17,$K$16))</f>
        <v>0.28000000000000003</v>
      </c>
      <c r="J26" s="22">
        <f t="shared" si="3"/>
        <v>0</v>
      </c>
      <c r="K26" s="513">
        <f t="shared" si="4"/>
        <v>0</v>
      </c>
      <c r="L26" s="836">
        <v>12</v>
      </c>
      <c r="M26" s="876" t="s">
        <v>60</v>
      </c>
      <c r="N26" s="637">
        <f t="shared" si="5"/>
        <v>1</v>
      </c>
      <c r="P26" s="877" t="s">
        <v>60</v>
      </c>
      <c r="Q26" s="248" t="str">
        <f t="shared" si="6"/>
        <v xml:space="preserve"> </v>
      </c>
      <c r="R26" s="250" t="str">
        <f t="shared" si="14"/>
        <v xml:space="preserve"> </v>
      </c>
      <c r="S26" s="846"/>
      <c r="T26" s="254" t="str">
        <f t="shared" si="18"/>
        <v xml:space="preserve"> </v>
      </c>
      <c r="U26" s="256" t="str">
        <f t="shared" si="19"/>
        <v xml:space="preserve"> </v>
      </c>
      <c r="V26" s="136"/>
      <c r="W26" s="258"/>
      <c r="X26" s="259"/>
      <c r="Y26" s="259"/>
      <c r="Z26" s="302">
        <f t="shared" si="7"/>
        <v>0</v>
      </c>
      <c r="AA26" s="303">
        <f t="shared" si="8"/>
        <v>0</v>
      </c>
      <c r="AB26" s="837"/>
      <c r="AC26" s="264">
        <f t="shared" si="15"/>
        <v>1</v>
      </c>
      <c r="AE26" s="4">
        <f t="shared" si="9"/>
        <v>0</v>
      </c>
      <c r="AF26" s="4">
        <f t="shared" si="10"/>
        <v>0</v>
      </c>
      <c r="AH26" s="4">
        <f t="shared" si="11"/>
        <v>0</v>
      </c>
      <c r="AI26" s="4">
        <f t="shared" si="12"/>
        <v>0</v>
      </c>
      <c r="AK26" s="4">
        <f t="shared" si="13"/>
        <v>0</v>
      </c>
      <c r="AL26" s="4">
        <f t="shared" si="13"/>
        <v>0</v>
      </c>
      <c r="AM26" s="4">
        <f t="shared" si="16"/>
        <v>0</v>
      </c>
    </row>
    <row r="27" spans="1:39" ht="16.5" customHeight="1" thickTop="1" x14ac:dyDescent="0.25">
      <c r="A27" s="910"/>
      <c r="B27" s="226"/>
      <c r="C27" s="227"/>
      <c r="D27" s="229"/>
      <c r="E27" s="40">
        <f t="shared" si="0"/>
        <v>0</v>
      </c>
      <c r="F27" s="223" t="str">
        <f t="shared" si="1"/>
        <v xml:space="preserve">n/a </v>
      </c>
      <c r="G27" s="224" t="str">
        <f t="shared" si="2"/>
        <v>n/a</v>
      </c>
      <c r="H27" s="22">
        <f t="shared" si="17"/>
        <v>0</v>
      </c>
      <c r="I27" s="41">
        <f>IF(AND(SetUp!$C$4="No",$I$216="No"),$J$217,IF(AND(SetUp!$C$4="No",$I$216="Yes"),$K$17,$K$16))</f>
        <v>0.28000000000000003</v>
      </c>
      <c r="J27" s="22">
        <f t="shared" si="3"/>
        <v>0</v>
      </c>
      <c r="K27" s="513">
        <f t="shared" si="4"/>
        <v>0</v>
      </c>
      <c r="L27" s="847">
        <v>12</v>
      </c>
      <c r="M27" s="878" t="s">
        <v>60</v>
      </c>
      <c r="N27" s="638">
        <f t="shared" si="5"/>
        <v>1</v>
      </c>
      <c r="P27" s="879" t="s">
        <v>60</v>
      </c>
      <c r="Q27" s="252" t="str">
        <f t="shared" si="6"/>
        <v xml:space="preserve"> </v>
      </c>
      <c r="R27" s="253" t="str">
        <f t="shared" si="14"/>
        <v xml:space="preserve"> </v>
      </c>
      <c r="S27" s="848"/>
      <c r="T27" s="257" t="str">
        <f t="shared" si="18"/>
        <v xml:space="preserve"> </v>
      </c>
      <c r="U27" s="256" t="str">
        <f t="shared" si="19"/>
        <v xml:space="preserve"> </v>
      </c>
      <c r="V27" s="136"/>
      <c r="W27" s="258"/>
      <c r="X27" s="259"/>
      <c r="Y27" s="259"/>
      <c r="Z27" s="302">
        <f t="shared" si="7"/>
        <v>0</v>
      </c>
      <c r="AA27" s="303">
        <f t="shared" si="8"/>
        <v>0</v>
      </c>
      <c r="AB27" s="837"/>
      <c r="AC27" s="264">
        <f t="shared" si="15"/>
        <v>1</v>
      </c>
      <c r="AE27" s="4">
        <f t="shared" si="9"/>
        <v>0</v>
      </c>
      <c r="AF27" s="4">
        <f t="shared" si="10"/>
        <v>0</v>
      </c>
      <c r="AH27" s="4">
        <f t="shared" si="11"/>
        <v>0</v>
      </c>
      <c r="AI27" s="4">
        <f t="shared" si="12"/>
        <v>0</v>
      </c>
      <c r="AK27" s="4">
        <f t="shared" si="13"/>
        <v>0</v>
      </c>
      <c r="AL27" s="4">
        <f t="shared" si="13"/>
        <v>0</v>
      </c>
      <c r="AM27" s="4">
        <f t="shared" si="16"/>
        <v>0</v>
      </c>
    </row>
    <row r="28" spans="1:39" ht="14.4" x14ac:dyDescent="0.25">
      <c r="A28" s="293"/>
      <c r="B28" s="294"/>
      <c r="C28" s="295"/>
      <c r="D28" s="295"/>
      <c r="E28" s="296"/>
      <c r="F28" s="296"/>
      <c r="G28" s="296" t="s">
        <v>222</v>
      </c>
      <c r="H28" s="297" t="s">
        <v>138</v>
      </c>
      <c r="I28" s="297"/>
      <c r="J28" s="297">
        <v>0</v>
      </c>
      <c r="K28" s="514">
        <f>I28+J28</f>
        <v>0</v>
      </c>
      <c r="L28" s="423"/>
      <c r="M28" s="424"/>
      <c r="N28" s="262"/>
      <c r="O28" s="866"/>
      <c r="P28" s="866"/>
      <c r="Q28" s="866"/>
      <c r="R28" s="866"/>
      <c r="S28" s="866"/>
      <c r="T28" s="866"/>
      <c r="U28" s="866"/>
      <c r="V28" s="13"/>
      <c r="W28" s="260"/>
      <c r="X28" s="261"/>
      <c r="Y28" s="259"/>
      <c r="Z28" s="262"/>
      <c r="AA28" s="263">
        <v>0</v>
      </c>
      <c r="AB28" s="263">
        <v>0</v>
      </c>
      <c r="AC28" s="264"/>
      <c r="AE28" s="103" t="s">
        <v>138</v>
      </c>
      <c r="AF28" s="103" t="s">
        <v>138</v>
      </c>
      <c r="AH28" s="103" t="s">
        <v>138</v>
      </c>
      <c r="AI28" s="103" t="s">
        <v>138</v>
      </c>
      <c r="AK28" s="103">
        <v>0</v>
      </c>
      <c r="AL28" s="103">
        <v>0</v>
      </c>
      <c r="AM28" s="50">
        <f t="shared" si="16"/>
        <v>0</v>
      </c>
    </row>
    <row r="29" spans="1:39" ht="16.5" customHeight="1" thickBot="1" x14ac:dyDescent="0.3">
      <c r="A29" s="910" t="s">
        <v>9</v>
      </c>
      <c r="B29" s="300"/>
      <c r="C29" s="301"/>
      <c r="D29" s="301"/>
      <c r="E29" s="301"/>
      <c r="F29" s="301"/>
      <c r="G29" s="301"/>
      <c r="H29" s="298">
        <f>SUM(H20:H28)</f>
        <v>57250</v>
      </c>
      <c r="I29" s="336"/>
      <c r="J29" s="298">
        <f>SUM(J20:J28)</f>
        <v>16030.000000000002</v>
      </c>
      <c r="K29" s="299">
        <f>SUM(K20:K28)</f>
        <v>73280</v>
      </c>
      <c r="L29" s="866"/>
      <c r="M29" s="866"/>
      <c r="N29" s="866"/>
      <c r="O29" s="866"/>
      <c r="P29" s="866"/>
      <c r="Q29" s="866"/>
      <c r="R29" s="866"/>
      <c r="S29" s="866"/>
      <c r="T29" s="866"/>
      <c r="U29" s="866"/>
      <c r="V29" s="13"/>
      <c r="W29" s="271"/>
      <c r="X29" s="272"/>
      <c r="Y29" s="272"/>
      <c r="Z29" s="262"/>
      <c r="AA29" s="262"/>
      <c r="AB29" s="272"/>
      <c r="AC29" s="273"/>
      <c r="AE29" s="121">
        <f>SUM(AE20:AE28)</f>
        <v>0</v>
      </c>
      <c r="AF29" s="121">
        <f>SUM(AF20:AF28)</f>
        <v>0</v>
      </c>
      <c r="AH29" s="121">
        <f>SUM(AH20:AH28)</f>
        <v>50880</v>
      </c>
      <c r="AI29" s="121">
        <f>SUM(AI20:AI28)</f>
        <v>22400</v>
      </c>
      <c r="AK29" s="4">
        <f>SUM(AK20:AK28)</f>
        <v>50880</v>
      </c>
      <c r="AL29" s="4">
        <f>SUM(AL20:AL28)</f>
        <v>22400</v>
      </c>
      <c r="AM29" s="121">
        <f>SUM(AM20:AM28)</f>
        <v>73280</v>
      </c>
    </row>
    <row r="30" spans="1:39" ht="16.5" customHeight="1" x14ac:dyDescent="0.25">
      <c r="A30" s="910"/>
      <c r="B30" s="226"/>
      <c r="C30" s="301"/>
      <c r="D30" s="301"/>
      <c r="E30" s="301"/>
      <c r="F30" s="301"/>
      <c r="G30" s="301"/>
      <c r="H30" s="301"/>
      <c r="I30" s="301"/>
      <c r="J30" s="301"/>
      <c r="K30" s="338"/>
      <c r="L30" s="866"/>
      <c r="M30" s="866"/>
      <c r="N30" s="866"/>
      <c r="O30" s="866"/>
      <c r="P30" s="866"/>
      <c r="Q30" s="866"/>
      <c r="R30" s="866"/>
      <c r="S30" s="866"/>
      <c r="T30" s="866"/>
      <c r="U30" s="866"/>
      <c r="V30" s="13"/>
      <c r="W30" s="271"/>
      <c r="X30" s="272"/>
      <c r="Y30" s="272"/>
      <c r="Z30" s="262"/>
      <c r="AA30" s="262"/>
      <c r="AB30" s="272"/>
      <c r="AC30" s="273"/>
      <c r="AK30" s="126"/>
      <c r="AL30" s="121"/>
    </row>
    <row r="31" spans="1:39" ht="16.5" customHeight="1" x14ac:dyDescent="0.25">
      <c r="A31" s="341" t="s">
        <v>120</v>
      </c>
      <c r="B31" s="342"/>
      <c r="C31" s="301"/>
      <c r="D31" s="301"/>
      <c r="E31" s="337" t="s">
        <v>159</v>
      </c>
      <c r="F31" s="301"/>
      <c r="G31" s="301"/>
      <c r="H31" s="301"/>
      <c r="I31" s="301"/>
      <c r="J31" s="301"/>
      <c r="K31" s="903" t="s">
        <v>160</v>
      </c>
      <c r="L31" s="866"/>
      <c r="M31" s="866"/>
      <c r="N31" s="866"/>
      <c r="O31" s="866"/>
      <c r="P31" s="866"/>
      <c r="Q31" s="866"/>
      <c r="R31" s="866"/>
      <c r="S31" s="866"/>
      <c r="T31" s="866"/>
      <c r="U31" s="866"/>
      <c r="V31" s="13"/>
      <c r="W31" s="271"/>
      <c r="X31" s="272"/>
      <c r="Y31" s="272"/>
      <c r="Z31" s="262"/>
      <c r="AA31" s="262"/>
      <c r="AB31" s="272"/>
      <c r="AC31" s="273"/>
    </row>
    <row r="32" spans="1:39" ht="16.5" customHeight="1" x14ac:dyDescent="0.25">
      <c r="A32" s="910" t="s">
        <v>463</v>
      </c>
      <c r="B32" s="226"/>
      <c r="C32" s="301"/>
      <c r="D32" s="301"/>
      <c r="E32" s="227">
        <v>11000</v>
      </c>
      <c r="F32" s="261"/>
      <c r="G32" s="261"/>
      <c r="H32" s="301"/>
      <c r="I32" s="301"/>
      <c r="J32" s="301"/>
      <c r="K32" s="227"/>
      <c r="L32" s="866"/>
      <c r="M32" s="866"/>
      <c r="N32" s="866"/>
      <c r="O32" s="866"/>
      <c r="P32" s="866"/>
      <c r="Q32" s="866"/>
      <c r="R32" s="866"/>
      <c r="S32" s="866"/>
      <c r="T32" s="866"/>
      <c r="U32" s="866"/>
      <c r="V32" s="13"/>
      <c r="W32" s="271"/>
      <c r="X32" s="272"/>
      <c r="Y32" s="272"/>
      <c r="Z32" s="262"/>
      <c r="AA32" s="262"/>
      <c r="AB32" s="272"/>
      <c r="AC32" s="273"/>
    </row>
    <row r="33" spans="1:39" ht="16.5" customHeight="1" x14ac:dyDescent="0.25">
      <c r="A33" s="910"/>
      <c r="B33" s="226"/>
      <c r="C33" s="301"/>
      <c r="D33" s="301"/>
      <c r="E33" s="227"/>
      <c r="F33" s="261"/>
      <c r="G33" s="261"/>
      <c r="H33" s="301"/>
      <c r="I33" s="301"/>
      <c r="J33" s="301"/>
      <c r="K33" s="339"/>
      <c r="L33" s="866"/>
      <c r="M33" s="866"/>
      <c r="N33" s="866"/>
      <c r="O33" s="866"/>
      <c r="P33" s="866"/>
      <c r="Q33" s="866"/>
      <c r="R33" s="866"/>
      <c r="S33" s="866"/>
      <c r="T33" s="866"/>
      <c r="U33" s="866"/>
      <c r="V33" s="13"/>
      <c r="W33" s="271"/>
      <c r="X33" s="272"/>
      <c r="Y33" s="272"/>
      <c r="Z33" s="262"/>
      <c r="AA33" s="262"/>
      <c r="AB33" s="272"/>
      <c r="AC33" s="273"/>
    </row>
    <row r="34" spans="1:39" ht="16.5" customHeight="1" thickBot="1" x14ac:dyDescent="0.35">
      <c r="A34" s="574" t="s">
        <v>121</v>
      </c>
      <c r="B34" s="574"/>
      <c r="C34" s="574"/>
      <c r="D34" s="574"/>
      <c r="E34" s="574"/>
      <c r="F34" s="574"/>
      <c r="G34" s="574"/>
      <c r="H34" s="574"/>
      <c r="I34" s="574"/>
      <c r="J34" s="651"/>
      <c r="K34" s="299">
        <f>SUM(E32:E33)+SUM(K32:K33)</f>
        <v>11000</v>
      </c>
      <c r="L34" s="425" t="s">
        <v>45</v>
      </c>
      <c r="M34" s="425"/>
      <c r="N34" s="866"/>
      <c r="O34" s="866"/>
      <c r="P34" s="866"/>
      <c r="Q34" s="866"/>
      <c r="R34" s="866"/>
      <c r="S34" s="866"/>
      <c r="T34" s="866"/>
      <c r="U34" s="866"/>
      <c r="V34" s="13"/>
      <c r="W34" s="274" t="s">
        <v>168</v>
      </c>
      <c r="X34" s="272" t="s">
        <v>203</v>
      </c>
      <c r="Y34" s="272" t="s">
        <v>204</v>
      </c>
      <c r="Z34" s="262"/>
      <c r="AA34" s="275" t="s">
        <v>168</v>
      </c>
      <c r="AB34" s="272" t="s">
        <v>203</v>
      </c>
      <c r="AC34" s="273" t="s">
        <v>204</v>
      </c>
      <c r="AE34" s="64" t="s">
        <v>168</v>
      </c>
    </row>
    <row r="35" spans="1:39" ht="16.5" customHeight="1" x14ac:dyDescent="0.25">
      <c r="A35" s="910"/>
      <c r="B35" s="226"/>
      <c r="C35" s="301"/>
      <c r="D35" s="340"/>
      <c r="E35" s="301"/>
      <c r="F35" s="261"/>
      <c r="G35" s="261"/>
      <c r="H35" s="301"/>
      <c r="I35" s="301"/>
      <c r="J35" s="301"/>
      <c r="K35" s="338"/>
      <c r="L35" s="866"/>
      <c r="M35" s="866"/>
      <c r="N35" s="866"/>
      <c r="O35" s="866"/>
      <c r="P35" s="866"/>
      <c r="Q35" s="866"/>
      <c r="R35" s="866"/>
      <c r="S35" s="866"/>
      <c r="T35" s="866"/>
      <c r="U35" s="866"/>
      <c r="V35" s="13"/>
      <c r="W35" s="274" t="s">
        <v>167</v>
      </c>
      <c r="X35" s="278" t="s">
        <v>136</v>
      </c>
      <c r="Y35" s="278" t="s">
        <v>137</v>
      </c>
      <c r="Z35" s="262"/>
      <c r="AA35" s="275" t="s">
        <v>167</v>
      </c>
      <c r="AB35" s="278" t="s">
        <v>136</v>
      </c>
      <c r="AC35" s="279" t="s">
        <v>137</v>
      </c>
      <c r="AE35" s="64"/>
    </row>
    <row r="36" spans="1:39" ht="16.5" customHeight="1" x14ac:dyDescent="0.25">
      <c r="A36" s="341" t="s">
        <v>13</v>
      </c>
      <c r="B36" s="342" t="s">
        <v>464</v>
      </c>
      <c r="C36" s="917" t="s">
        <v>465</v>
      </c>
      <c r="D36" s="301"/>
      <c r="E36" s="902" t="s">
        <v>159</v>
      </c>
      <c r="F36" s="261"/>
      <c r="G36" s="261"/>
      <c r="H36" s="301"/>
      <c r="I36" s="301"/>
      <c r="J36" s="301"/>
      <c r="K36" s="903" t="s">
        <v>160</v>
      </c>
      <c r="L36" s="866"/>
      <c r="M36" s="866"/>
      <c r="N36" s="866"/>
      <c r="O36" s="866"/>
      <c r="P36" s="866"/>
      <c r="Q36" s="866"/>
      <c r="R36" s="866"/>
      <c r="S36" s="866"/>
      <c r="T36" s="866"/>
      <c r="U36" s="866"/>
      <c r="W36" s="1463" t="s">
        <v>159</v>
      </c>
      <c r="X36" s="1464"/>
      <c r="Y36" s="1464"/>
      <c r="Z36" s="9"/>
      <c r="AA36" s="1465" t="s">
        <v>160</v>
      </c>
      <c r="AB36" s="1465"/>
      <c r="AC36" s="1466"/>
      <c r="AE36" s="1472" t="s">
        <v>159</v>
      </c>
      <c r="AF36" s="1472"/>
      <c r="AH36" s="1473" t="s">
        <v>160</v>
      </c>
      <c r="AI36" s="1473"/>
      <c r="AK36" s="1475" t="s">
        <v>161</v>
      </c>
      <c r="AL36" s="1475"/>
      <c r="AM36" s="1475"/>
    </row>
    <row r="37" spans="1:39" ht="16.5" customHeight="1" x14ac:dyDescent="0.25">
      <c r="A37" s="910" t="s">
        <v>499</v>
      </c>
      <c r="B37" s="226">
        <v>26</v>
      </c>
      <c r="C37" s="301">
        <v>100</v>
      </c>
      <c r="D37" s="866"/>
      <c r="E37" s="227">
        <f>B37*C37</f>
        <v>2600</v>
      </c>
      <c r="F37" s="261"/>
      <c r="G37" s="261"/>
      <c r="H37" s="301"/>
      <c r="I37" s="301"/>
      <c r="J37" s="301"/>
      <c r="K37" s="227"/>
      <c r="L37" s="866"/>
      <c r="M37" s="866"/>
      <c r="N37" s="866"/>
      <c r="O37" s="866"/>
      <c r="P37" s="866"/>
      <c r="Q37" s="866"/>
      <c r="R37" s="866"/>
      <c r="S37" s="866"/>
      <c r="T37" s="866"/>
      <c r="U37" s="866"/>
      <c r="W37" s="145">
        <f>E37</f>
        <v>2600</v>
      </c>
      <c r="X37" s="837"/>
      <c r="Y37" s="495">
        <f>1-X37</f>
        <v>1</v>
      </c>
      <c r="Z37" s="144"/>
      <c r="AA37" s="48">
        <f>K37</f>
        <v>0</v>
      </c>
      <c r="AB37" s="837"/>
      <c r="AC37" s="264">
        <f>1-AB37</f>
        <v>1</v>
      </c>
      <c r="AE37" s="4">
        <f>E37*X37</f>
        <v>0</v>
      </c>
      <c r="AF37" s="4">
        <f>E37*Y37</f>
        <v>2600</v>
      </c>
      <c r="AH37" s="4">
        <f>K37*AB37</f>
        <v>0</v>
      </c>
      <c r="AI37" s="4">
        <f>K37*AC37</f>
        <v>0</v>
      </c>
      <c r="AK37" s="4">
        <f>AE37+AH37</f>
        <v>0</v>
      </c>
      <c r="AL37" s="4">
        <f>AF37+AI37</f>
        <v>2600</v>
      </c>
      <c r="AM37" s="4">
        <f>SUM(AK37:AL37)</f>
        <v>2600</v>
      </c>
    </row>
    <row r="38" spans="1:39" ht="16.5" customHeight="1" x14ac:dyDescent="0.25">
      <c r="A38" s="910"/>
      <c r="B38" s="226"/>
      <c r="C38" s="301"/>
      <c r="D38" s="866"/>
      <c r="E38" s="227"/>
      <c r="F38" s="261"/>
      <c r="G38" s="261"/>
      <c r="H38" s="301"/>
      <c r="I38" s="343"/>
      <c r="J38" s="296" t="s">
        <v>223</v>
      </c>
      <c r="K38" s="382">
        <v>0</v>
      </c>
      <c r="L38" s="866"/>
      <c r="M38" s="866"/>
      <c r="N38" s="866"/>
      <c r="O38" s="866"/>
      <c r="P38" s="866"/>
      <c r="Q38" s="866"/>
      <c r="R38" s="866"/>
      <c r="S38" s="866"/>
      <c r="T38" s="866"/>
      <c r="U38" s="866"/>
      <c r="W38" s="145">
        <f>E38</f>
        <v>0</v>
      </c>
      <c r="X38" s="837"/>
      <c r="Y38" s="495">
        <f>1-X38</f>
        <v>1</v>
      </c>
      <c r="Z38" s="144"/>
      <c r="AA38" s="112">
        <v>0</v>
      </c>
      <c r="AB38" s="112">
        <v>0</v>
      </c>
      <c r="AC38" s="142"/>
      <c r="AE38" s="50">
        <f>E38*X38</f>
        <v>0</v>
      </c>
      <c r="AF38" s="50">
        <f>E38*Y38</f>
        <v>0</v>
      </c>
      <c r="AG38" s="9"/>
      <c r="AH38" s="103">
        <v>0</v>
      </c>
      <c r="AI38" s="103">
        <v>0</v>
      </c>
      <c r="AK38" s="50">
        <f>AE38+AH38</f>
        <v>0</v>
      </c>
      <c r="AL38" s="50">
        <f>AF38+AI38</f>
        <v>0</v>
      </c>
      <c r="AM38" s="50">
        <f t="shared" ref="AM38:AM39" si="20">SUM(AK38:AL38)</f>
        <v>0</v>
      </c>
    </row>
    <row r="39" spans="1:39" ht="16.5" customHeight="1" thickBot="1" x14ac:dyDescent="0.3">
      <c r="A39" s="574" t="s">
        <v>14</v>
      </c>
      <c r="B39" s="574"/>
      <c r="C39" s="574"/>
      <c r="D39" s="574"/>
      <c r="E39" s="574"/>
      <c r="F39" s="574"/>
      <c r="G39" s="574"/>
      <c r="H39" s="574"/>
      <c r="I39" s="574"/>
      <c r="J39" s="651"/>
      <c r="K39" s="383">
        <f>SUM(E37:E38)+SUM(K37:K38)</f>
        <v>2600</v>
      </c>
      <c r="L39" s="866"/>
      <c r="M39" s="866"/>
      <c r="N39" s="866"/>
      <c r="O39" s="866"/>
      <c r="P39" s="866"/>
      <c r="Q39" s="866"/>
      <c r="R39" s="866"/>
      <c r="S39" s="866"/>
      <c r="T39" s="866"/>
      <c r="U39" s="866"/>
      <c r="W39" s="492"/>
      <c r="X39" s="272"/>
      <c r="Y39" s="272"/>
      <c r="Z39" s="493"/>
      <c r="AA39" s="493"/>
      <c r="AB39" s="272"/>
      <c r="AC39" s="273"/>
      <c r="AE39" s="4">
        <f>SUM(AE37:AE38)</f>
        <v>0</v>
      </c>
      <c r="AF39" s="4">
        <f t="shared" ref="AF39:AI39" si="21">SUM(AF37:AF38)</f>
        <v>2600</v>
      </c>
      <c r="AG39" s="4"/>
      <c r="AH39" s="4">
        <f t="shared" si="21"/>
        <v>0</v>
      </c>
      <c r="AI39" s="4">
        <f t="shared" si="21"/>
        <v>0</v>
      </c>
      <c r="AK39" s="4">
        <f>SUM(AK37:AK38)</f>
        <v>0</v>
      </c>
      <c r="AL39" s="4">
        <f>SUM(AL37:AL38)</f>
        <v>2600</v>
      </c>
      <c r="AM39" s="121">
        <f t="shared" si="20"/>
        <v>2600</v>
      </c>
    </row>
    <row r="40" spans="1:39" ht="16.5" customHeight="1" x14ac:dyDescent="0.25">
      <c r="A40" s="910"/>
      <c r="B40" s="226"/>
      <c r="C40" s="301"/>
      <c r="D40" s="301"/>
      <c r="E40" s="301"/>
      <c r="F40" s="261"/>
      <c r="G40" s="261"/>
      <c r="H40" s="301"/>
      <c r="I40" s="301"/>
      <c r="J40" s="301"/>
      <c r="K40" s="338"/>
      <c r="L40" s="866"/>
      <c r="M40" s="866"/>
      <c r="N40" s="866"/>
      <c r="O40" s="866"/>
      <c r="P40" s="866"/>
      <c r="Q40" s="866"/>
      <c r="R40" s="866"/>
      <c r="S40" s="866"/>
      <c r="T40" s="866"/>
      <c r="U40" s="866"/>
      <c r="W40" s="494" t="s">
        <v>169</v>
      </c>
      <c r="X40" s="272" t="s">
        <v>203</v>
      </c>
      <c r="Y40" s="272" t="s">
        <v>204</v>
      </c>
      <c r="Z40" s="493"/>
      <c r="AA40" s="236" t="s">
        <v>169</v>
      </c>
      <c r="AB40" s="272" t="s">
        <v>203</v>
      </c>
      <c r="AC40" s="273" t="s">
        <v>204</v>
      </c>
      <c r="AE40" s="10" t="s">
        <v>169</v>
      </c>
      <c r="AK40" s="126"/>
      <c r="AL40" s="121"/>
    </row>
    <row r="41" spans="1:39" ht="16.5" customHeight="1" x14ac:dyDescent="0.25">
      <c r="A41" s="344" t="s">
        <v>10</v>
      </c>
      <c r="B41" s="342"/>
      <c r="C41" s="301"/>
      <c r="D41" s="301"/>
      <c r="E41" s="337" t="s">
        <v>159</v>
      </c>
      <c r="F41" s="261"/>
      <c r="G41" s="261"/>
      <c r="H41" s="301"/>
      <c r="I41" s="301"/>
      <c r="J41" s="301"/>
      <c r="K41" s="903" t="s">
        <v>160</v>
      </c>
      <c r="L41" s="866"/>
      <c r="M41" s="866"/>
      <c r="N41" s="866"/>
      <c r="O41" s="866"/>
      <c r="P41" s="866"/>
      <c r="Q41" s="866"/>
      <c r="R41" s="866"/>
      <c r="S41" s="866"/>
      <c r="T41" s="866"/>
      <c r="U41" s="866"/>
      <c r="W41" s="494" t="s">
        <v>167</v>
      </c>
      <c r="X41" s="278" t="s">
        <v>136</v>
      </c>
      <c r="Y41" s="278" t="s">
        <v>137</v>
      </c>
      <c r="Z41" s="493"/>
      <c r="AA41" s="236" t="s">
        <v>167</v>
      </c>
      <c r="AB41" s="278" t="s">
        <v>136</v>
      </c>
      <c r="AC41" s="279" t="s">
        <v>137</v>
      </c>
      <c r="AE41" s="10"/>
    </row>
    <row r="42" spans="1:39" ht="16.5" customHeight="1" x14ac:dyDescent="0.25">
      <c r="A42" s="910"/>
      <c r="B42" s="226"/>
      <c r="C42" s="301"/>
      <c r="D42" s="866"/>
      <c r="E42" s="227"/>
      <c r="F42" s="261"/>
      <c r="G42" s="261"/>
      <c r="H42" s="301"/>
      <c r="I42" s="301"/>
      <c r="J42" s="301"/>
      <c r="K42" s="227"/>
      <c r="L42" s="866"/>
      <c r="M42" s="866"/>
      <c r="N42" s="866"/>
      <c r="O42" s="866"/>
      <c r="P42" s="866"/>
      <c r="Q42" s="866"/>
      <c r="R42" s="866"/>
      <c r="S42" s="866"/>
      <c r="T42" s="866"/>
      <c r="U42" s="866"/>
      <c r="W42" s="145">
        <f>E42</f>
        <v>0</v>
      </c>
      <c r="X42" s="837"/>
      <c r="Y42" s="495">
        <f>1-X42</f>
        <v>1</v>
      </c>
      <c r="Z42" s="144"/>
      <c r="AA42" s="48">
        <f>K42</f>
        <v>0</v>
      </c>
      <c r="AB42" s="837"/>
      <c r="AC42" s="142">
        <f>1-AB42</f>
        <v>1</v>
      </c>
      <c r="AE42" s="4">
        <f>E42*X42</f>
        <v>0</v>
      </c>
      <c r="AF42" s="4">
        <f>E42*Y42</f>
        <v>0</v>
      </c>
      <c r="AH42" s="4">
        <f>K42*AB42</f>
        <v>0</v>
      </c>
      <c r="AI42" s="4">
        <f>K42*AC42</f>
        <v>0</v>
      </c>
      <c r="AK42" s="4">
        <f>AE42+AH42</f>
        <v>0</v>
      </c>
      <c r="AL42" s="4">
        <f>AF42+AI42</f>
        <v>0</v>
      </c>
      <c r="AM42" s="4">
        <f>SUM(AK42:AL42)</f>
        <v>0</v>
      </c>
    </row>
    <row r="43" spans="1:39" ht="16.5" customHeight="1" x14ac:dyDescent="0.25">
      <c r="A43" s="910"/>
      <c r="B43" s="226"/>
      <c r="C43" s="301"/>
      <c r="D43" s="866"/>
      <c r="E43" s="227"/>
      <c r="F43" s="261"/>
      <c r="G43" s="261"/>
      <c r="H43" s="301"/>
      <c r="I43" s="301"/>
      <c r="J43" s="301"/>
      <c r="K43" s="227"/>
      <c r="L43" s="866"/>
      <c r="M43" s="866"/>
      <c r="N43" s="866"/>
      <c r="O43" s="866"/>
      <c r="P43" s="866"/>
      <c r="Q43" s="866"/>
      <c r="R43" s="866"/>
      <c r="S43" s="866"/>
      <c r="T43" s="866"/>
      <c r="U43" s="866"/>
      <c r="W43" s="145">
        <f>E43</f>
        <v>0</v>
      </c>
      <c r="X43" s="837"/>
      <c r="Y43" s="495">
        <f t="shared" ref="Y43:Y44" si="22">1-X43</f>
        <v>1</v>
      </c>
      <c r="Z43" s="144"/>
      <c r="AA43" s="48">
        <f>K43</f>
        <v>0</v>
      </c>
      <c r="AB43" s="837"/>
      <c r="AC43" s="142">
        <f>1-AB43</f>
        <v>1</v>
      </c>
      <c r="AE43" s="48">
        <f>E43*X43</f>
        <v>0</v>
      </c>
      <c r="AF43" s="48">
        <f>E43*Y43</f>
        <v>0</v>
      </c>
      <c r="AG43" s="9"/>
      <c r="AH43" s="4">
        <f>K43*AB43</f>
        <v>0</v>
      </c>
      <c r="AI43" s="4">
        <f>K43*AC43</f>
        <v>0</v>
      </c>
      <c r="AJ43" s="9"/>
      <c r="AK43" s="4">
        <f t="shared" ref="AK43:AL44" si="23">AE43+AH43</f>
        <v>0</v>
      </c>
      <c r="AL43" s="4">
        <f t="shared" si="23"/>
        <v>0</v>
      </c>
      <c r="AM43" s="4">
        <f t="shared" ref="AM43:AM45" si="24">SUM(AK43:AL43)</f>
        <v>0</v>
      </c>
    </row>
    <row r="44" spans="1:39" ht="16.5" customHeight="1" x14ac:dyDescent="0.25">
      <c r="A44" s="910"/>
      <c r="B44" s="226"/>
      <c r="C44" s="301"/>
      <c r="D44" s="866"/>
      <c r="E44" s="227"/>
      <c r="F44" s="261"/>
      <c r="G44" s="261"/>
      <c r="H44" s="301"/>
      <c r="I44" s="345"/>
      <c r="J44" s="296" t="s">
        <v>260</v>
      </c>
      <c r="K44" s="382">
        <v>0</v>
      </c>
      <c r="L44" s="866"/>
      <c r="M44" s="866"/>
      <c r="N44" s="866"/>
      <c r="O44" s="866"/>
      <c r="P44" s="866"/>
      <c r="Q44" s="866"/>
      <c r="R44" s="866"/>
      <c r="S44" s="866"/>
      <c r="T44" s="866"/>
      <c r="U44" s="866"/>
      <c r="W44" s="145">
        <f>E44</f>
        <v>0</v>
      </c>
      <c r="X44" s="837"/>
      <c r="Y44" s="495">
        <f t="shared" si="22"/>
        <v>1</v>
      </c>
      <c r="Z44" s="144"/>
      <c r="AA44" s="263">
        <v>0</v>
      </c>
      <c r="AB44" s="263">
        <v>0</v>
      </c>
      <c r="AC44" s="142"/>
      <c r="AE44" s="50">
        <f>E44*X44</f>
        <v>0</v>
      </c>
      <c r="AF44" s="50">
        <f>E44*Y44</f>
        <v>0</v>
      </c>
      <c r="AH44" s="103">
        <v>0</v>
      </c>
      <c r="AI44" s="103">
        <v>0</v>
      </c>
      <c r="AJ44" s="9"/>
      <c r="AK44" s="50">
        <f t="shared" si="23"/>
        <v>0</v>
      </c>
      <c r="AL44" s="50">
        <f t="shared" si="23"/>
        <v>0</v>
      </c>
      <c r="AM44" s="50">
        <f t="shared" si="24"/>
        <v>0</v>
      </c>
    </row>
    <row r="45" spans="1:39" ht="16.5" customHeight="1" thickBot="1" x14ac:dyDescent="0.3">
      <c r="A45" s="574" t="s">
        <v>12</v>
      </c>
      <c r="B45" s="574"/>
      <c r="C45" s="574"/>
      <c r="D45" s="574"/>
      <c r="E45" s="574"/>
      <c r="F45" s="574"/>
      <c r="G45" s="574"/>
      <c r="H45" s="574"/>
      <c r="I45" s="574"/>
      <c r="J45" s="651"/>
      <c r="K45" s="384">
        <f>SUM(E42:E44)+SUM(K42:K44)</f>
        <v>0</v>
      </c>
      <c r="L45" s="866"/>
      <c r="M45" s="866"/>
      <c r="N45" s="866"/>
      <c r="O45" s="866"/>
      <c r="P45" s="866"/>
      <c r="Q45" s="866"/>
      <c r="R45" s="866"/>
      <c r="S45" s="866"/>
      <c r="T45" s="866"/>
      <c r="U45" s="866"/>
      <c r="W45" s="146"/>
      <c r="X45" s="272"/>
      <c r="Y45" s="124"/>
      <c r="Z45" s="144"/>
      <c r="AA45" s="144"/>
      <c r="AB45" s="124"/>
      <c r="AC45" s="142"/>
      <c r="AE45" s="4">
        <f t="shared" ref="AE45:AI45" si="25">SUM(AE42:AE44)</f>
        <v>0</v>
      </c>
      <c r="AF45" s="4">
        <f t="shared" si="25"/>
        <v>0</v>
      </c>
      <c r="AG45" s="4"/>
      <c r="AH45" s="4">
        <f t="shared" si="25"/>
        <v>0</v>
      </c>
      <c r="AI45" s="4">
        <f t="shared" si="25"/>
        <v>0</v>
      </c>
      <c r="AJ45" s="4"/>
      <c r="AK45" s="4">
        <f>SUM(AK42:AK44)</f>
        <v>0</v>
      </c>
      <c r="AL45" s="4">
        <f>SUM(AL42:AL44)</f>
        <v>0</v>
      </c>
      <c r="AM45" s="121">
        <f t="shared" si="24"/>
        <v>0</v>
      </c>
    </row>
    <row r="46" spans="1:39" ht="16.5" customHeight="1" x14ac:dyDescent="0.25">
      <c r="A46" s="910"/>
      <c r="B46" s="226"/>
      <c r="C46" s="301"/>
      <c r="D46" s="866"/>
      <c r="E46" s="301"/>
      <c r="F46" s="261"/>
      <c r="G46" s="261"/>
      <c r="H46" s="346"/>
      <c r="I46" s="301"/>
      <c r="J46" s="301"/>
      <c r="K46" s="338"/>
      <c r="L46" s="866"/>
      <c r="M46" s="866"/>
      <c r="N46" s="866"/>
      <c r="O46" s="866"/>
      <c r="P46" s="866"/>
      <c r="Q46" s="866"/>
      <c r="R46" s="866"/>
      <c r="S46" s="866"/>
      <c r="T46" s="866"/>
      <c r="U46" s="866"/>
      <c r="W46" s="116" t="s">
        <v>34</v>
      </c>
      <c r="X46" s="272" t="s">
        <v>203</v>
      </c>
      <c r="Y46" s="124" t="s">
        <v>204</v>
      </c>
      <c r="Z46" s="144"/>
      <c r="AA46" s="10" t="s">
        <v>34</v>
      </c>
      <c r="AB46" s="124" t="s">
        <v>203</v>
      </c>
      <c r="AC46" s="142" t="s">
        <v>204</v>
      </c>
      <c r="AE46" s="10" t="s">
        <v>34</v>
      </c>
      <c r="AK46" s="126"/>
      <c r="AL46" s="121"/>
    </row>
    <row r="47" spans="1:39" ht="16.5" customHeight="1" x14ac:dyDescent="0.25">
      <c r="A47" s="341" t="s">
        <v>15</v>
      </c>
      <c r="B47" s="342"/>
      <c r="C47" s="301"/>
      <c r="D47" s="866"/>
      <c r="E47" s="337" t="s">
        <v>159</v>
      </c>
      <c r="F47" s="261"/>
      <c r="G47" s="261"/>
      <c r="H47" s="301"/>
      <c r="I47" s="301"/>
      <c r="J47" s="301"/>
      <c r="K47" s="903" t="s">
        <v>160</v>
      </c>
      <c r="L47" s="866"/>
      <c r="M47" s="866"/>
      <c r="N47" s="866"/>
      <c r="O47" s="866"/>
      <c r="P47" s="866"/>
      <c r="Q47" s="866"/>
      <c r="R47" s="866"/>
      <c r="S47" s="866"/>
      <c r="T47" s="866"/>
      <c r="U47" s="866"/>
      <c r="W47" s="116" t="s">
        <v>167</v>
      </c>
      <c r="X47" s="278" t="s">
        <v>136</v>
      </c>
      <c r="Y47" s="100" t="s">
        <v>137</v>
      </c>
      <c r="Z47" s="144"/>
      <c r="AA47" s="10" t="s">
        <v>167</v>
      </c>
      <c r="AB47" s="100" t="s">
        <v>136</v>
      </c>
      <c r="AC47" s="143" t="s">
        <v>137</v>
      </c>
    </row>
    <row r="48" spans="1:39" ht="16.5" customHeight="1" x14ac:dyDescent="0.25">
      <c r="A48" s="910"/>
      <c r="B48" s="226"/>
      <c r="C48" s="301"/>
      <c r="D48" s="866"/>
      <c r="E48" s="227"/>
      <c r="F48" s="261"/>
      <c r="G48" s="261"/>
      <c r="H48" s="301"/>
      <c r="I48" s="301"/>
      <c r="J48" s="301"/>
      <c r="K48" s="227"/>
      <c r="L48" s="866"/>
      <c r="M48" s="866"/>
      <c r="N48" s="866"/>
      <c r="O48" s="866"/>
      <c r="P48" s="866"/>
      <c r="Q48" s="866"/>
      <c r="R48" s="866"/>
      <c r="S48" s="866"/>
      <c r="T48" s="866"/>
      <c r="U48" s="866"/>
      <c r="W48" s="145">
        <f>E48</f>
        <v>0</v>
      </c>
      <c r="X48" s="837"/>
      <c r="Y48" s="124">
        <f>1-X48</f>
        <v>1</v>
      </c>
      <c r="Z48" s="144"/>
      <c r="AA48" s="48">
        <f>K48</f>
        <v>0</v>
      </c>
      <c r="AB48" s="837"/>
      <c r="AC48" s="142">
        <f>1-AB48</f>
        <v>1</v>
      </c>
      <c r="AE48" s="4">
        <f>E48*X48</f>
        <v>0</v>
      </c>
      <c r="AF48" s="4">
        <f>E48*Y48</f>
        <v>0</v>
      </c>
      <c r="AH48" s="4">
        <f>K48*AB48</f>
        <v>0</v>
      </c>
      <c r="AI48" s="4">
        <f>K48*AC48</f>
        <v>0</v>
      </c>
      <c r="AK48" s="4">
        <f>AE48+AH48</f>
        <v>0</v>
      </c>
      <c r="AL48" s="4">
        <f>AF48+AI48</f>
        <v>0</v>
      </c>
      <c r="AM48" s="4">
        <f>SUM(AK48:AL48)</f>
        <v>0</v>
      </c>
    </row>
    <row r="49" spans="1:39" ht="16.5" customHeight="1" x14ac:dyDescent="0.25">
      <c r="A49" s="910"/>
      <c r="B49" s="226"/>
      <c r="C49" s="301"/>
      <c r="D49" s="866"/>
      <c r="E49" s="227"/>
      <c r="F49" s="261"/>
      <c r="G49" s="261"/>
      <c r="H49" s="301"/>
      <c r="I49" s="345"/>
      <c r="J49" s="296" t="s">
        <v>261</v>
      </c>
      <c r="K49" s="382">
        <v>0</v>
      </c>
      <c r="L49" s="866"/>
      <c r="M49" s="866"/>
      <c r="N49" s="866"/>
      <c r="O49" s="866"/>
      <c r="P49" s="866"/>
      <c r="Q49" s="866"/>
      <c r="R49" s="866"/>
      <c r="S49" s="866"/>
      <c r="T49" s="866"/>
      <c r="U49" s="866"/>
      <c r="W49" s="145">
        <f>E49</f>
        <v>0</v>
      </c>
      <c r="X49" s="837"/>
      <c r="Y49" s="124">
        <f>1-X49</f>
        <v>1</v>
      </c>
      <c r="Z49" s="144"/>
      <c r="AA49" s="263">
        <v>0</v>
      </c>
      <c r="AB49" s="263">
        <v>0</v>
      </c>
      <c r="AC49" s="142"/>
      <c r="AE49" s="50">
        <f>E49*X49</f>
        <v>0</v>
      </c>
      <c r="AF49" s="50">
        <f>E49*Y49</f>
        <v>0</v>
      </c>
      <c r="AH49" s="103">
        <v>0</v>
      </c>
      <c r="AI49" s="103">
        <v>0</v>
      </c>
      <c r="AK49" s="50">
        <f>AE49+AH49</f>
        <v>0</v>
      </c>
      <c r="AL49" s="50">
        <f>AF49+AI49</f>
        <v>0</v>
      </c>
      <c r="AM49" s="50">
        <f>SUM(AK49:AL49)</f>
        <v>0</v>
      </c>
    </row>
    <row r="50" spans="1:39" ht="16.5" customHeight="1" thickBot="1" x14ac:dyDescent="0.3">
      <c r="A50" s="910" t="s">
        <v>16</v>
      </c>
      <c r="B50" s="226"/>
      <c r="C50" s="301"/>
      <c r="D50" s="301"/>
      <c r="E50" s="301"/>
      <c r="F50" s="261"/>
      <c r="G50" s="261"/>
      <c r="H50" s="301"/>
      <c r="I50" s="301"/>
      <c r="J50" s="301"/>
      <c r="K50" s="383">
        <f>SUM(E48:E49)+ SUM(K48:K49)</f>
        <v>0</v>
      </c>
      <c r="L50" s="866"/>
      <c r="M50" s="866"/>
      <c r="N50" s="866"/>
      <c r="O50" s="866"/>
      <c r="P50" s="866"/>
      <c r="Q50" s="866"/>
      <c r="R50" s="866"/>
      <c r="S50" s="866"/>
      <c r="T50" s="866"/>
      <c r="U50" s="866"/>
      <c r="W50" s="492"/>
      <c r="X50" s="272"/>
      <c r="Y50" s="272"/>
      <c r="Z50" s="493"/>
      <c r="AA50" s="493"/>
      <c r="AB50" s="272"/>
      <c r="AC50" s="273"/>
      <c r="AE50" s="4">
        <f>SUM(AE48:AE49)</f>
        <v>0</v>
      </c>
      <c r="AF50" s="4">
        <f>SUM(AF48:AF49)</f>
        <v>0</v>
      </c>
      <c r="AH50" s="4">
        <f>AH48+AH49</f>
        <v>0</v>
      </c>
      <c r="AI50" s="4">
        <f>AI48+AI49</f>
        <v>0</v>
      </c>
      <c r="AK50" s="4">
        <f>SUM(AK48:AK49)</f>
        <v>0</v>
      </c>
      <c r="AL50" s="4">
        <f>SUM(AL48:AL49)</f>
        <v>0</v>
      </c>
      <c r="AM50" s="121">
        <f>SUM(AK50:AL50)</f>
        <v>0</v>
      </c>
    </row>
    <row r="51" spans="1:39" ht="16.5" customHeight="1" x14ac:dyDescent="0.25">
      <c r="A51" s="910"/>
      <c r="B51" s="226"/>
      <c r="C51" s="301"/>
      <c r="D51" s="301"/>
      <c r="E51" s="301"/>
      <c r="F51" s="261"/>
      <c r="G51" s="261"/>
      <c r="H51" s="301"/>
      <c r="I51" s="301"/>
      <c r="J51" s="301"/>
      <c r="K51" s="338"/>
      <c r="L51" s="866"/>
      <c r="M51" s="866"/>
      <c r="N51" s="866"/>
      <c r="O51" s="866"/>
      <c r="P51" s="866"/>
      <c r="Q51" s="866"/>
      <c r="R51" s="866"/>
      <c r="S51" s="866"/>
      <c r="T51" s="866"/>
      <c r="U51" s="866"/>
      <c r="W51" s="492"/>
      <c r="X51" s="272"/>
      <c r="Y51" s="272"/>
      <c r="Z51" s="493"/>
      <c r="AA51" s="493"/>
      <c r="AB51" s="272"/>
      <c r="AC51" s="273"/>
      <c r="AK51" s="126"/>
      <c r="AL51" s="121"/>
    </row>
    <row r="52" spans="1:39" ht="16.5" customHeight="1" x14ac:dyDescent="0.25">
      <c r="A52" s="344" t="s">
        <v>29</v>
      </c>
      <c r="B52" s="919" t="s">
        <v>467</v>
      </c>
      <c r="C52" s="921" t="s">
        <v>468</v>
      </c>
      <c r="D52" s="921" t="s">
        <v>469</v>
      </c>
      <c r="E52" s="337" t="s">
        <v>159</v>
      </c>
      <c r="F52" s="326"/>
      <c r="G52" s="326"/>
      <c r="H52" s="301"/>
      <c r="I52" s="301"/>
      <c r="J52" s="301"/>
      <c r="K52" s="903" t="s">
        <v>160</v>
      </c>
      <c r="L52" s="866"/>
      <c r="M52" s="866"/>
      <c r="N52" s="866"/>
      <c r="O52" s="866"/>
      <c r="P52" s="866"/>
      <c r="Q52" s="866"/>
      <c r="R52" s="866"/>
      <c r="S52" s="866"/>
      <c r="T52" s="866"/>
      <c r="U52" s="866"/>
      <c r="W52" s="492"/>
      <c r="X52" s="272"/>
      <c r="Y52" s="272"/>
      <c r="Z52" s="493"/>
      <c r="AA52" s="493"/>
      <c r="AB52" s="272"/>
      <c r="AC52" s="273"/>
    </row>
    <row r="53" spans="1:39" ht="16.5" customHeight="1" x14ac:dyDescent="0.25">
      <c r="A53" s="910" t="s">
        <v>466</v>
      </c>
      <c r="B53" s="920">
        <v>100</v>
      </c>
      <c r="C53" s="918">
        <v>8</v>
      </c>
      <c r="D53" s="918">
        <v>35</v>
      </c>
      <c r="E53" s="227">
        <f>B53*C53*D53</f>
        <v>28000</v>
      </c>
      <c r="F53" s="261"/>
      <c r="G53" s="261"/>
      <c r="H53" s="349"/>
      <c r="I53" s="301"/>
      <c r="J53" s="301"/>
      <c r="K53" s="385"/>
      <c r="L53" s="866"/>
      <c r="M53" s="866"/>
      <c r="N53" s="866"/>
      <c r="O53" s="246"/>
      <c r="P53" s="246"/>
      <c r="Q53" s="246"/>
      <c r="R53" s="246"/>
      <c r="S53" s="246"/>
      <c r="T53" s="246"/>
      <c r="U53" s="246"/>
      <c r="V53" s="63"/>
      <c r="W53" s="271"/>
      <c r="X53" s="259"/>
      <c r="Y53" s="259"/>
      <c r="Z53" s="496"/>
      <c r="AA53" s="496"/>
      <c r="AB53" s="259"/>
      <c r="AC53" s="497"/>
    </row>
    <row r="54" spans="1:39" ht="16.5" customHeight="1" x14ac:dyDescent="0.25">
      <c r="A54" s="910"/>
      <c r="B54" s="348"/>
      <c r="C54" s="349"/>
      <c r="D54" s="350"/>
      <c r="E54" s="227"/>
      <c r="F54" s="261"/>
      <c r="G54" s="261"/>
      <c r="H54" s="349"/>
      <c r="I54" s="345"/>
      <c r="J54" s="296" t="s">
        <v>262</v>
      </c>
      <c r="K54" s="382">
        <v>0</v>
      </c>
      <c r="L54" s="866"/>
      <c r="M54" s="866"/>
      <c r="N54" s="866"/>
      <c r="O54" s="246"/>
      <c r="P54" s="246"/>
      <c r="Q54" s="246"/>
      <c r="R54" s="246"/>
      <c r="S54" s="246"/>
      <c r="T54" s="246"/>
      <c r="U54" s="246"/>
      <c r="V54" s="63"/>
      <c r="W54" s="271"/>
      <c r="X54" s="259"/>
      <c r="Y54" s="259"/>
      <c r="Z54" s="496"/>
      <c r="AA54" s="496"/>
      <c r="AB54" s="272" t="s">
        <v>203</v>
      </c>
      <c r="AC54" s="273" t="s">
        <v>204</v>
      </c>
    </row>
    <row r="55" spans="1:39" ht="16.5" customHeight="1" thickBot="1" x14ac:dyDescent="0.35">
      <c r="A55" s="574" t="s">
        <v>30</v>
      </c>
      <c r="B55" s="574"/>
      <c r="C55" s="574"/>
      <c r="D55" s="574"/>
      <c r="E55" s="574"/>
      <c r="F55" s="574"/>
      <c r="G55" s="574"/>
      <c r="H55" s="574"/>
      <c r="I55" s="574"/>
      <c r="J55" s="651"/>
      <c r="K55" s="386">
        <f>SUM(E53:E54)+SUM(K53:K54)</f>
        <v>28000</v>
      </c>
      <c r="L55" s="425" t="s">
        <v>45</v>
      </c>
      <c r="M55" s="425"/>
      <c r="N55" s="866"/>
      <c r="O55" s="866"/>
      <c r="P55" s="866"/>
      <c r="Q55" s="866"/>
      <c r="R55" s="866"/>
      <c r="S55" s="866"/>
      <c r="T55" s="866"/>
      <c r="U55" s="866"/>
      <c r="W55" s="271"/>
      <c r="X55" s="276"/>
      <c r="Y55" s="276"/>
      <c r="Z55" s="262"/>
      <c r="AA55" s="262"/>
      <c r="AB55" s="278" t="s">
        <v>136</v>
      </c>
      <c r="AC55" s="279" t="s">
        <v>137</v>
      </c>
    </row>
    <row r="56" spans="1:39" ht="16.5" customHeight="1" x14ac:dyDescent="0.25">
      <c r="A56" s="910"/>
      <c r="B56" s="226"/>
      <c r="C56" s="350"/>
      <c r="D56" s="350"/>
      <c r="E56" s="350"/>
      <c r="F56" s="350"/>
      <c r="G56" s="350"/>
      <c r="H56" s="226"/>
      <c r="I56" s="226"/>
      <c r="J56" s="226"/>
      <c r="K56" s="338"/>
      <c r="L56" s="866"/>
      <c r="M56" s="866"/>
      <c r="N56" s="866"/>
      <c r="O56" s="866"/>
      <c r="P56" s="866"/>
      <c r="Q56" s="866"/>
      <c r="R56" s="866"/>
      <c r="S56" s="866"/>
      <c r="T56" s="866"/>
      <c r="U56" s="866"/>
      <c r="W56" s="1467"/>
      <c r="X56" s="1468"/>
      <c r="Y56" s="498"/>
      <c r="Z56" s="262"/>
      <c r="AA56" s="1465" t="s">
        <v>160</v>
      </c>
      <c r="AB56" s="1465"/>
      <c r="AC56" s="1466"/>
    </row>
    <row r="57" spans="1:39" ht="16.5" customHeight="1" x14ac:dyDescent="0.25">
      <c r="A57" s="344" t="s">
        <v>68</v>
      </c>
      <c r="B57" s="342"/>
      <c r="C57" s="301"/>
      <c r="D57" s="301"/>
      <c r="E57" s="301"/>
      <c r="F57" s="301"/>
      <c r="G57" s="301"/>
      <c r="H57" s="262"/>
      <c r="I57" s="351" t="s">
        <v>72</v>
      </c>
      <c r="J57" s="351" t="s">
        <v>73</v>
      </c>
      <c r="K57" s="903" t="s">
        <v>160</v>
      </c>
      <c r="L57" s="866"/>
      <c r="M57" s="866"/>
      <c r="N57" s="866"/>
      <c r="O57" s="866"/>
      <c r="P57" s="866"/>
      <c r="Q57" s="866"/>
      <c r="R57" s="866"/>
      <c r="S57" s="866"/>
      <c r="T57" s="866"/>
      <c r="U57" s="866"/>
      <c r="W57" s="271"/>
      <c r="X57" s="259"/>
      <c r="Y57" s="259"/>
      <c r="Z57" s="493"/>
      <c r="AA57" s="493"/>
      <c r="AB57" s="499" t="s">
        <v>171</v>
      </c>
      <c r="AC57" s="500"/>
      <c r="AD57" s="49"/>
      <c r="AF57" s="49"/>
      <c r="AH57" s="140" t="s">
        <v>171</v>
      </c>
      <c r="AI57" s="49"/>
      <c r="AK57" s="49"/>
      <c r="AL57" s="49"/>
      <c r="AM57" s="49"/>
    </row>
    <row r="58" spans="1:39" ht="16.5" customHeight="1" x14ac:dyDescent="0.25">
      <c r="A58" s="922" t="s">
        <v>471</v>
      </c>
      <c r="B58" s="226"/>
      <c r="C58" s="301"/>
      <c r="D58" s="301"/>
      <c r="E58" s="301"/>
      <c r="F58" s="301"/>
      <c r="G58" s="301"/>
      <c r="H58" s="262"/>
      <c r="I58" s="352">
        <v>54500</v>
      </c>
      <c r="J58" s="352">
        <f>I58*0.35</f>
        <v>19075</v>
      </c>
      <c r="K58" s="513">
        <f>I58+J58</f>
        <v>73575</v>
      </c>
      <c r="L58" s="866"/>
      <c r="M58" s="866"/>
      <c r="N58" s="866"/>
      <c r="O58" s="866"/>
      <c r="P58" s="866"/>
      <c r="Q58" s="866"/>
      <c r="R58" s="866"/>
      <c r="S58" s="866"/>
      <c r="T58" s="866"/>
      <c r="U58" s="866"/>
      <c r="W58" s="492"/>
      <c r="X58" s="272"/>
      <c r="Y58" s="259"/>
      <c r="Z58" s="493"/>
      <c r="AA58" s="137">
        <f>K177</f>
        <v>25000</v>
      </c>
      <c r="AB58" s="837"/>
      <c r="AC58" s="142">
        <f>1-AB58</f>
        <v>1</v>
      </c>
      <c r="AE58" s="4"/>
      <c r="AF58" s="4"/>
      <c r="AH58" s="4">
        <f>K177*AB58</f>
        <v>0</v>
      </c>
      <c r="AI58" s="4">
        <f>K177*AC58</f>
        <v>25000</v>
      </c>
      <c r="AK58" s="4">
        <f>AE58+AH58</f>
        <v>0</v>
      </c>
      <c r="AL58" s="4">
        <f>AF58+AI58</f>
        <v>25000</v>
      </c>
      <c r="AM58" s="121">
        <f>AK58+AL58</f>
        <v>25000</v>
      </c>
    </row>
    <row r="59" spans="1:39" ht="16.5" customHeight="1" x14ac:dyDescent="0.25">
      <c r="A59" s="910"/>
      <c r="B59" s="226"/>
      <c r="C59" s="301"/>
      <c r="D59" s="301"/>
      <c r="E59" s="301"/>
      <c r="F59" s="301"/>
      <c r="G59" s="301"/>
      <c r="H59" s="262"/>
      <c r="I59" s="352"/>
      <c r="J59" s="352"/>
      <c r="K59" s="513">
        <f>I59+J59</f>
        <v>0</v>
      </c>
      <c r="L59" s="866"/>
      <c r="M59" s="866"/>
      <c r="N59" s="866"/>
      <c r="O59" s="866"/>
      <c r="P59" s="866"/>
      <c r="Q59" s="866"/>
      <c r="R59" s="866"/>
      <c r="S59" s="866"/>
      <c r="T59" s="866"/>
      <c r="U59" s="866"/>
      <c r="W59" s="492"/>
      <c r="X59" s="272"/>
      <c r="Y59" s="259"/>
      <c r="Z59" s="493"/>
      <c r="AA59" s="113"/>
      <c r="AB59" s="259"/>
      <c r="AC59" s="142"/>
    </row>
    <row r="60" spans="1:39" ht="16.5" customHeight="1" x14ac:dyDescent="0.25">
      <c r="A60" s="910"/>
      <c r="B60" s="226"/>
      <c r="C60" s="301"/>
      <c r="D60" s="301"/>
      <c r="E60" s="301"/>
      <c r="F60" s="301"/>
      <c r="G60" s="301"/>
      <c r="H60" s="262"/>
      <c r="I60" s="352"/>
      <c r="J60" s="352"/>
      <c r="K60" s="513">
        <f>I60+J60</f>
        <v>0</v>
      </c>
      <c r="L60" s="866"/>
      <c r="M60" s="866"/>
      <c r="N60" s="866"/>
      <c r="O60" s="866"/>
      <c r="P60" s="866"/>
      <c r="Q60" s="866"/>
      <c r="R60" s="866"/>
      <c r="S60" s="866"/>
      <c r="T60" s="866"/>
      <c r="U60" s="866"/>
      <c r="W60" s="492"/>
      <c r="X60" s="272"/>
      <c r="Y60" s="259"/>
      <c r="Z60" s="493"/>
      <c r="AA60" s="259"/>
      <c r="AB60" s="272" t="s">
        <v>203</v>
      </c>
      <c r="AC60" s="273" t="s">
        <v>204</v>
      </c>
    </row>
    <row r="61" spans="1:39" ht="16.5" customHeight="1" x14ac:dyDescent="0.25">
      <c r="A61" s="353" t="s">
        <v>175</v>
      </c>
      <c r="B61" s="354"/>
      <c r="C61" s="355"/>
      <c r="D61" s="355"/>
      <c r="E61" s="355"/>
      <c r="F61" s="355"/>
      <c r="G61" s="355"/>
      <c r="H61" s="356"/>
      <c r="I61" s="357"/>
      <c r="J61" s="358"/>
      <c r="K61" s="513">
        <f>I61+J61</f>
        <v>0</v>
      </c>
      <c r="L61" s="866"/>
      <c r="M61" s="866"/>
      <c r="N61" s="866"/>
      <c r="O61" s="866"/>
      <c r="P61" s="866"/>
      <c r="Q61" s="866"/>
      <c r="R61" s="866"/>
      <c r="S61" s="866"/>
      <c r="T61" s="866"/>
      <c r="U61" s="866"/>
      <c r="W61" s="492"/>
      <c r="X61" s="272"/>
      <c r="Y61" s="259"/>
      <c r="Z61" s="493"/>
      <c r="AA61" s="502"/>
      <c r="AB61" s="502" t="s">
        <v>172</v>
      </c>
      <c r="AC61" s="273"/>
      <c r="AH61" s="139" t="s">
        <v>172</v>
      </c>
    </row>
    <row r="62" spans="1:39" ht="17.25" customHeight="1" x14ac:dyDescent="0.25">
      <c r="A62" s="293"/>
      <c r="B62" s="294"/>
      <c r="C62" s="295"/>
      <c r="D62" s="295"/>
      <c r="E62" s="295"/>
      <c r="F62" s="295"/>
      <c r="G62" s="295"/>
      <c r="H62" s="296" t="s">
        <v>224</v>
      </c>
      <c r="I62" s="297">
        <v>0</v>
      </c>
      <c r="J62" s="297">
        <v>0</v>
      </c>
      <c r="K62" s="515">
        <f>I62+J62</f>
        <v>0</v>
      </c>
      <c r="L62" s="866"/>
      <c r="M62" s="866"/>
      <c r="N62" s="866"/>
      <c r="O62" s="866"/>
      <c r="P62" s="866"/>
      <c r="Q62" s="866"/>
      <c r="R62" s="866"/>
      <c r="S62" s="866"/>
      <c r="T62" s="866"/>
      <c r="U62" s="866"/>
      <c r="W62" s="492"/>
      <c r="X62" s="272"/>
      <c r="Y62" s="259"/>
      <c r="Z62" s="493"/>
      <c r="AA62" s="25">
        <f>K133</f>
        <v>0</v>
      </c>
      <c r="AB62" s="837"/>
      <c r="AC62" s="142">
        <f>1-AB62</f>
        <v>1</v>
      </c>
      <c r="AH62" s="129">
        <f>K133*AB62</f>
        <v>0</v>
      </c>
      <c r="AI62" s="867">
        <f>K133*AC62</f>
        <v>0</v>
      </c>
      <c r="AK62" s="4">
        <f>AE62+AH62</f>
        <v>0</v>
      </c>
      <c r="AL62" s="867">
        <f>AF62+AI62</f>
        <v>0</v>
      </c>
      <c r="AM62" s="121">
        <f>AK62+AL62</f>
        <v>0</v>
      </c>
    </row>
    <row r="63" spans="1:39" ht="16.5" customHeight="1" thickBot="1" x14ac:dyDescent="0.35">
      <c r="A63" s="652" t="s">
        <v>47</v>
      </c>
      <c r="B63" s="652"/>
      <c r="C63" s="652"/>
      <c r="D63" s="652"/>
      <c r="E63" s="652"/>
      <c r="F63" s="652"/>
      <c r="G63" s="652"/>
      <c r="H63" s="652"/>
      <c r="I63" s="387">
        <f>SUM(I58:I62)</f>
        <v>54500</v>
      </c>
      <c r="J63" s="299">
        <f>SUM(J58:J62)</f>
        <v>19075</v>
      </c>
      <c r="K63" s="388">
        <f>SUM(K58:K62)</f>
        <v>73575</v>
      </c>
      <c r="L63" s="425" t="s">
        <v>140</v>
      </c>
      <c r="M63" s="425"/>
      <c r="N63" s="866"/>
      <c r="O63" s="866"/>
      <c r="P63" s="866"/>
      <c r="Q63" s="866"/>
      <c r="R63" s="866"/>
      <c r="S63" s="866"/>
      <c r="T63" s="866"/>
      <c r="U63" s="866"/>
      <c r="W63" s="494" t="s">
        <v>170</v>
      </c>
      <c r="X63" s="272" t="s">
        <v>203</v>
      </c>
      <c r="Y63" s="272" t="s">
        <v>204</v>
      </c>
      <c r="Z63" s="493"/>
      <c r="AA63" s="236" t="s">
        <v>170</v>
      </c>
      <c r="AB63" s="272" t="s">
        <v>203</v>
      </c>
      <c r="AC63" s="273" t="s">
        <v>204</v>
      </c>
      <c r="AE63" s="49"/>
      <c r="AF63" s="49"/>
      <c r="AH63" s="49"/>
      <c r="AI63" s="49"/>
      <c r="AK63" s="49"/>
      <c r="AL63" s="49"/>
      <c r="AM63" s="49"/>
    </row>
    <row r="64" spans="1:39" ht="16.5" customHeight="1" x14ac:dyDescent="0.25">
      <c r="A64" s="910"/>
      <c r="B64" s="226"/>
      <c r="C64" s="301"/>
      <c r="D64" s="301"/>
      <c r="E64" s="301"/>
      <c r="F64" s="301"/>
      <c r="G64" s="301"/>
      <c r="H64" s="301"/>
      <c r="I64" s="301"/>
      <c r="J64" s="301"/>
      <c r="K64" s="338"/>
      <c r="L64" s="866"/>
      <c r="M64" s="866"/>
      <c r="N64" s="866"/>
      <c r="O64" s="866"/>
      <c r="P64" s="866"/>
      <c r="Q64" s="866"/>
      <c r="R64" s="866"/>
      <c r="S64" s="866"/>
      <c r="T64" s="866"/>
      <c r="U64" s="866"/>
      <c r="W64" s="274" t="s">
        <v>167</v>
      </c>
      <c r="X64" s="278" t="s">
        <v>136</v>
      </c>
      <c r="Y64" s="278" t="s">
        <v>137</v>
      </c>
      <c r="Z64" s="493"/>
      <c r="AA64" s="275" t="s">
        <v>167</v>
      </c>
      <c r="AB64" s="278" t="s">
        <v>136</v>
      </c>
      <c r="AC64" s="278" t="s">
        <v>137</v>
      </c>
      <c r="AE64" s="160" t="s">
        <v>67</v>
      </c>
      <c r="AK64" s="126"/>
      <c r="AL64" s="4"/>
    </row>
    <row r="65" spans="1:78" ht="16.5" customHeight="1" x14ac:dyDescent="0.25">
      <c r="A65" s="341" t="s">
        <v>65</v>
      </c>
      <c r="B65" s="342"/>
      <c r="C65" s="301"/>
      <c r="D65" s="301"/>
      <c r="E65" s="337" t="s">
        <v>159</v>
      </c>
      <c r="F65" s="301"/>
      <c r="G65" s="301"/>
      <c r="H65" s="926" t="s">
        <v>467</v>
      </c>
      <c r="I65" s="923" t="s">
        <v>473</v>
      </c>
      <c r="J65" s="914" t="s">
        <v>474</v>
      </c>
      <c r="K65" s="903" t="s">
        <v>160</v>
      </c>
      <c r="L65" s="866"/>
      <c r="M65" s="866"/>
      <c r="N65" s="866"/>
      <c r="O65" s="866"/>
      <c r="P65" s="866"/>
      <c r="Q65" s="866"/>
      <c r="R65" s="866"/>
      <c r="S65" s="866"/>
      <c r="T65" s="866"/>
      <c r="U65" s="866"/>
      <c r="W65" s="1463" t="s">
        <v>159</v>
      </c>
      <c r="X65" s="1464"/>
      <c r="Y65" s="501"/>
      <c r="Z65" s="493"/>
      <c r="AA65" s="1465" t="s">
        <v>160</v>
      </c>
      <c r="AB65" s="1465"/>
      <c r="AC65" s="1466"/>
    </row>
    <row r="66" spans="1:78" ht="16.5" customHeight="1" x14ac:dyDescent="0.25">
      <c r="A66" s="305"/>
      <c r="B66" s="359"/>
      <c r="C66" s="349"/>
      <c r="D66" s="301"/>
      <c r="E66" s="227"/>
      <c r="F66" s="261"/>
      <c r="G66" s="261"/>
      <c r="H66" s="924"/>
      <c r="I66" s="925"/>
      <c r="J66" s="927"/>
      <c r="K66" s="227"/>
      <c r="L66" s="866"/>
      <c r="M66" s="866"/>
      <c r="N66" s="866"/>
      <c r="O66" s="866"/>
      <c r="P66" s="866"/>
      <c r="Q66" s="866"/>
      <c r="R66" s="866"/>
      <c r="S66" s="866"/>
      <c r="T66" s="866"/>
      <c r="U66" s="866"/>
      <c r="W66" s="145">
        <f>E66</f>
        <v>0</v>
      </c>
      <c r="X66" s="837"/>
      <c r="Y66" s="124">
        <f>1-X66</f>
        <v>1</v>
      </c>
      <c r="Z66" s="144"/>
      <c r="AA66" s="48">
        <f>K66</f>
        <v>0</v>
      </c>
      <c r="AB66" s="837"/>
      <c r="AC66" s="142">
        <f>1-AB66</f>
        <v>1</v>
      </c>
      <c r="AE66" s="4">
        <f>E66*X66</f>
        <v>0</v>
      </c>
      <c r="AF66" s="4">
        <f>E66*Y66</f>
        <v>0</v>
      </c>
      <c r="AH66" s="4">
        <f t="shared" ref="AH66:AH71" si="26">K66*AB66</f>
        <v>0</v>
      </c>
      <c r="AI66" s="4">
        <f t="shared" ref="AI66:AI71" si="27">K66*AC66</f>
        <v>0</v>
      </c>
      <c r="AK66" s="4">
        <f>AE66+AH66</f>
        <v>0</v>
      </c>
      <c r="AL66" s="4">
        <f>AF66+AI66</f>
        <v>0</v>
      </c>
      <c r="AM66" s="4">
        <f>SUM(AK66:AL66)</f>
        <v>0</v>
      </c>
    </row>
    <row r="67" spans="1:78" ht="16.5" customHeight="1" x14ac:dyDescent="0.25">
      <c r="B67" s="359"/>
      <c r="C67" s="349"/>
      <c r="D67" s="301"/>
      <c r="E67" s="227"/>
      <c r="G67" s="915" t="s">
        <v>472</v>
      </c>
      <c r="H67" s="924">
        <v>100</v>
      </c>
      <c r="I67" s="925">
        <v>2</v>
      </c>
      <c r="J67" s="927">
        <v>25</v>
      </c>
      <c r="K67" s="227">
        <f>H67*I67*J67</f>
        <v>5000</v>
      </c>
      <c r="L67" s="866"/>
      <c r="M67" s="866"/>
      <c r="N67" s="866"/>
      <c r="O67" s="866"/>
      <c r="P67" s="866"/>
      <c r="Q67" s="866"/>
      <c r="R67" s="866"/>
      <c r="S67" s="866"/>
      <c r="T67" s="866"/>
      <c r="U67" s="866"/>
      <c r="W67" s="145">
        <f>E67</f>
        <v>0</v>
      </c>
      <c r="X67" s="837"/>
      <c r="Y67" s="124">
        <f t="shared" ref="Y67:Y70" si="28">1-X67</f>
        <v>1</v>
      </c>
      <c r="Z67" s="144"/>
      <c r="AA67" s="48">
        <f>K67</f>
        <v>5000</v>
      </c>
      <c r="AB67" s="837">
        <v>1</v>
      </c>
      <c r="AC67" s="142">
        <f t="shared" ref="AC67:AC74" si="29">1-AB67</f>
        <v>0</v>
      </c>
      <c r="AE67" s="4">
        <f>E67*X67</f>
        <v>0</v>
      </c>
      <c r="AF67" s="4">
        <f>E67*Y67</f>
        <v>0</v>
      </c>
      <c r="AH67" s="4">
        <f t="shared" si="26"/>
        <v>5000</v>
      </c>
      <c r="AI67" s="4">
        <f t="shared" si="27"/>
        <v>0</v>
      </c>
      <c r="AK67" s="4">
        <f t="shared" ref="AK67:AL74" si="30">AE67+AH67</f>
        <v>5000</v>
      </c>
      <c r="AL67" s="4">
        <f t="shared" si="30"/>
        <v>0</v>
      </c>
      <c r="AM67" s="4">
        <f t="shared" ref="AM67:AM78" si="31">SUM(AK67:AL67)</f>
        <v>5000</v>
      </c>
    </row>
    <row r="68" spans="1:78" ht="16.5" customHeight="1" x14ac:dyDescent="0.25">
      <c r="A68" s="305"/>
      <c r="B68" s="359"/>
      <c r="C68" s="349"/>
      <c r="D68" s="301"/>
      <c r="E68" s="227"/>
      <c r="F68" s="261"/>
      <c r="G68" s="261"/>
      <c r="H68" s="261"/>
      <c r="I68" s="301"/>
      <c r="J68" s="301"/>
      <c r="K68" s="227"/>
      <c r="L68" s="866"/>
      <c r="M68" s="866"/>
      <c r="N68" s="866"/>
      <c r="O68" s="866"/>
      <c r="P68" s="866"/>
      <c r="Q68" s="866"/>
      <c r="R68" s="866"/>
      <c r="S68" s="866"/>
      <c r="T68" s="866"/>
      <c r="U68" s="866"/>
      <c r="W68" s="145">
        <f>E68</f>
        <v>0</v>
      </c>
      <c r="X68" s="837"/>
      <c r="Y68" s="124">
        <f t="shared" si="28"/>
        <v>1</v>
      </c>
      <c r="Z68" s="144"/>
      <c r="AA68" s="48">
        <f>K68</f>
        <v>0</v>
      </c>
      <c r="AB68" s="837"/>
      <c r="AC68" s="142">
        <f t="shared" si="29"/>
        <v>1</v>
      </c>
      <c r="AE68" s="4">
        <f>E68*X68</f>
        <v>0</v>
      </c>
      <c r="AF68" s="4">
        <f>E68*Y68</f>
        <v>0</v>
      </c>
      <c r="AH68" s="4">
        <f t="shared" si="26"/>
        <v>0</v>
      </c>
      <c r="AI68" s="4">
        <f t="shared" si="27"/>
        <v>0</v>
      </c>
      <c r="AK68" s="4">
        <f t="shared" si="30"/>
        <v>0</v>
      </c>
      <c r="AL68" s="4">
        <f t="shared" si="30"/>
        <v>0</v>
      </c>
      <c r="AM68" s="4">
        <f t="shared" si="31"/>
        <v>0</v>
      </c>
    </row>
    <row r="69" spans="1:78" ht="16.5" customHeight="1" x14ac:dyDescent="0.25">
      <c r="A69" s="305"/>
      <c r="B69" s="359"/>
      <c r="C69" s="349"/>
      <c r="D69" s="301"/>
      <c r="E69" s="227"/>
      <c r="F69" s="261"/>
      <c r="G69" s="261"/>
      <c r="H69" s="261"/>
      <c r="I69" s="301"/>
      <c r="J69" s="301"/>
      <c r="K69" s="227"/>
      <c r="L69" s="866"/>
      <c r="M69" s="866"/>
      <c r="N69" s="866"/>
      <c r="O69" s="866"/>
      <c r="P69" s="866"/>
      <c r="Q69" s="866"/>
      <c r="R69" s="866"/>
      <c r="S69" s="866"/>
      <c r="T69" s="866"/>
      <c r="U69" s="866"/>
      <c r="W69" s="145">
        <f>E69</f>
        <v>0</v>
      </c>
      <c r="X69" s="837"/>
      <c r="Y69" s="124">
        <f t="shared" si="28"/>
        <v>1</v>
      </c>
      <c r="Z69" s="144"/>
      <c r="AA69" s="48">
        <f>K69</f>
        <v>0</v>
      </c>
      <c r="AB69" s="837"/>
      <c r="AC69" s="142">
        <f t="shared" si="29"/>
        <v>1</v>
      </c>
      <c r="AE69" s="4">
        <f>E69*X69</f>
        <v>0</v>
      </c>
      <c r="AF69" s="4">
        <f>E69*Y69</f>
        <v>0</v>
      </c>
      <c r="AH69" s="4">
        <f t="shared" si="26"/>
        <v>0</v>
      </c>
      <c r="AI69" s="4">
        <f t="shared" si="27"/>
        <v>0</v>
      </c>
      <c r="AK69" s="4">
        <f t="shared" si="30"/>
        <v>0</v>
      </c>
      <c r="AL69" s="4">
        <f t="shared" si="30"/>
        <v>0</v>
      </c>
      <c r="AM69" s="4">
        <f t="shared" si="31"/>
        <v>0</v>
      </c>
    </row>
    <row r="70" spans="1:78" ht="16.5" customHeight="1" x14ac:dyDescent="0.25">
      <c r="A70" s="305"/>
      <c r="B70" s="359"/>
      <c r="C70" s="349"/>
      <c r="D70" s="301"/>
      <c r="E70" s="227"/>
      <c r="F70" s="261"/>
      <c r="G70" s="261"/>
      <c r="H70" s="261"/>
      <c r="I70" s="301"/>
      <c r="J70" s="301"/>
      <c r="K70" s="227"/>
      <c r="L70" s="326"/>
      <c r="M70" s="326"/>
      <c r="N70" s="326"/>
      <c r="O70" s="326"/>
      <c r="P70" s="326"/>
      <c r="Q70" s="326"/>
      <c r="R70" s="326"/>
      <c r="S70" s="326"/>
      <c r="T70" s="326"/>
      <c r="U70" s="326"/>
      <c r="V70" s="13"/>
      <c r="W70" s="148">
        <f>E70</f>
        <v>0</v>
      </c>
      <c r="X70" s="837"/>
      <c r="Y70" s="113">
        <f t="shared" si="28"/>
        <v>1</v>
      </c>
      <c r="Z70" s="114"/>
      <c r="AA70" s="48">
        <f>K70</f>
        <v>0</v>
      </c>
      <c r="AB70" s="837"/>
      <c r="AC70" s="142">
        <f t="shared" si="29"/>
        <v>1</v>
      </c>
      <c r="AE70" s="4">
        <f>E70*X70</f>
        <v>0</v>
      </c>
      <c r="AF70" s="4">
        <f>E70*Y70</f>
        <v>0</v>
      </c>
      <c r="AH70" s="4">
        <f t="shared" si="26"/>
        <v>0</v>
      </c>
      <c r="AI70" s="4">
        <f t="shared" si="27"/>
        <v>0</v>
      </c>
      <c r="AK70" s="4">
        <f t="shared" si="30"/>
        <v>0</v>
      </c>
      <c r="AL70" s="4">
        <f t="shared" si="30"/>
        <v>0</v>
      </c>
      <c r="AM70" s="4">
        <f t="shared" si="31"/>
        <v>0</v>
      </c>
    </row>
    <row r="71" spans="1:78" s="56" customFormat="1" ht="4.5" customHeight="1" x14ac:dyDescent="0.25">
      <c r="A71" s="360"/>
      <c r="B71" s="361"/>
      <c r="C71" s="362"/>
      <c r="D71" s="363"/>
      <c r="E71" s="363"/>
      <c r="F71" s="363"/>
      <c r="G71" s="363"/>
      <c r="H71" s="363"/>
      <c r="I71" s="364"/>
      <c r="J71" s="365"/>
      <c r="K71" s="389"/>
      <c r="L71" s="326"/>
      <c r="M71" s="326"/>
      <c r="N71" s="326"/>
      <c r="O71" s="326"/>
      <c r="P71" s="326"/>
      <c r="Q71" s="326"/>
      <c r="R71" s="326"/>
      <c r="S71" s="326"/>
      <c r="T71" s="326"/>
      <c r="U71" s="326"/>
      <c r="V71" s="13"/>
      <c r="W71" s="141"/>
      <c r="X71" s="113"/>
      <c r="Y71" s="113"/>
      <c r="Z71" s="114"/>
      <c r="AA71" s="149"/>
      <c r="AB71" s="503"/>
      <c r="AC71" s="142"/>
      <c r="AE71" s="4"/>
      <c r="AF71" s="4"/>
      <c r="AH71" s="4">
        <f t="shared" si="26"/>
        <v>0</v>
      </c>
      <c r="AI71" s="4">
        <f t="shared" si="27"/>
        <v>0</v>
      </c>
      <c r="AK71" s="4">
        <f t="shared" si="30"/>
        <v>0</v>
      </c>
      <c r="AL71" s="4">
        <f t="shared" si="30"/>
        <v>0</v>
      </c>
      <c r="AM71" s="4">
        <f>SUM(AK71:AL71)</f>
        <v>0</v>
      </c>
      <c r="AN71" s="325"/>
      <c r="AO71" s="325"/>
      <c r="AP71" s="325"/>
      <c r="AQ71" s="325"/>
      <c r="AR71" s="325"/>
      <c r="AS71" s="325"/>
      <c r="AT71" s="325"/>
      <c r="AU71" s="325"/>
      <c r="AV71" s="325"/>
      <c r="AW71" s="325"/>
      <c r="AX71" s="325"/>
      <c r="AY71" s="325"/>
      <c r="AZ71" s="325"/>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row>
    <row r="72" spans="1:78" ht="16.5" customHeight="1" x14ac:dyDescent="0.25">
      <c r="A72" s="366" t="s">
        <v>134</v>
      </c>
      <c r="B72" s="367"/>
      <c r="C72" s="368"/>
      <c r="D72" s="369"/>
      <c r="E72" s="369"/>
      <c r="F72" s="369"/>
      <c r="G72" s="369"/>
      <c r="H72" s="369"/>
      <c r="I72" s="369"/>
      <c r="J72" s="369"/>
      <c r="K72" s="390" t="s">
        <v>386</v>
      </c>
      <c r="L72" s="326"/>
      <c r="M72" s="326"/>
      <c r="N72" s="326"/>
      <c r="O72" s="326"/>
      <c r="P72" s="326"/>
      <c r="Q72" s="326"/>
      <c r="R72" s="326"/>
      <c r="S72" s="326"/>
      <c r="T72" s="326"/>
      <c r="U72" s="326"/>
      <c r="V72" s="13"/>
      <c r="W72" s="271"/>
      <c r="X72" s="259"/>
      <c r="Y72" s="259"/>
      <c r="Z72" s="246"/>
      <c r="AA72" s="9"/>
      <c r="AB72" s="272"/>
      <c r="AC72" s="142"/>
      <c r="AE72" s="4"/>
      <c r="AF72" s="4"/>
      <c r="AH72" s="4"/>
      <c r="AI72" s="4"/>
      <c r="AK72" s="4"/>
      <c r="AL72" s="4"/>
      <c r="AM72" s="4">
        <f t="shared" si="31"/>
        <v>0</v>
      </c>
    </row>
    <row r="73" spans="1:78" ht="16.5" customHeight="1" x14ac:dyDescent="0.25">
      <c r="A73" s="370" t="s">
        <v>139</v>
      </c>
      <c r="B73" s="305" t="str">
        <f>'Federal Grad Student'!A20</f>
        <v xml:space="preserve"> Direct Compensation</v>
      </c>
      <c r="C73" s="349"/>
      <c r="D73" s="301"/>
      <c r="E73" s="301"/>
      <c r="F73" s="301"/>
      <c r="G73" s="301"/>
      <c r="H73" s="261"/>
      <c r="I73" s="301"/>
      <c r="J73" s="301"/>
      <c r="K73" s="391">
        <f>IF($H$179="Yes", 'Sample_Federal Grad Student'!C41, 0)</f>
        <v>16750</v>
      </c>
      <c r="L73" s="326"/>
      <c r="M73" s="866"/>
      <c r="N73" s="866"/>
      <c r="O73" s="866"/>
      <c r="P73" s="866"/>
      <c r="Q73" s="866"/>
      <c r="R73" s="866"/>
      <c r="S73" s="866"/>
      <c r="T73" s="866"/>
      <c r="U73" s="866"/>
      <c r="W73" s="492"/>
      <c r="X73" s="261"/>
      <c r="Y73" s="272"/>
      <c r="Z73" s="262"/>
      <c r="AA73" s="48">
        <f>K73</f>
        <v>16750</v>
      </c>
      <c r="AB73" s="504"/>
      <c r="AC73" s="142">
        <f t="shared" si="29"/>
        <v>1</v>
      </c>
      <c r="AE73" s="4">
        <f>E73*X73</f>
        <v>0</v>
      </c>
      <c r="AF73" s="4">
        <f>E73*Y73</f>
        <v>0</v>
      </c>
      <c r="AH73" s="4">
        <f>K73*AB73</f>
        <v>0</v>
      </c>
      <c r="AI73" s="4">
        <f>K73*AC73</f>
        <v>16750</v>
      </c>
      <c r="AK73" s="4">
        <f t="shared" si="30"/>
        <v>0</v>
      </c>
      <c r="AL73" s="4">
        <f t="shared" si="30"/>
        <v>16750</v>
      </c>
      <c r="AM73" s="4">
        <f t="shared" si="31"/>
        <v>16750</v>
      </c>
    </row>
    <row r="74" spans="1:78" ht="16.5" customHeight="1" x14ac:dyDescent="0.25">
      <c r="A74" s="371" t="s">
        <v>173</v>
      </c>
      <c r="B74" s="305" t="str">
        <f>'Federal Grad Student'!A21</f>
        <v xml:space="preserve"> Health Insurance</v>
      </c>
      <c r="C74" s="349"/>
      <c r="D74" s="301"/>
      <c r="E74" s="301"/>
      <c r="F74" s="301"/>
      <c r="G74" s="301"/>
      <c r="H74" s="261"/>
      <c r="I74" s="301"/>
      <c r="J74" s="301"/>
      <c r="K74" s="392">
        <f>IF($H$179="Yes", 'Sample_Federal Grad Student'!C42, 0)</f>
        <v>2454.5</v>
      </c>
      <c r="L74" s="326"/>
      <c r="M74" s="866"/>
      <c r="N74" s="866"/>
      <c r="O74" s="866"/>
      <c r="P74" s="866"/>
      <c r="Q74" s="866"/>
      <c r="R74" s="866"/>
      <c r="S74" s="866"/>
      <c r="T74" s="866"/>
      <c r="U74" s="866"/>
      <c r="W74" s="492"/>
      <c r="X74" s="261"/>
      <c r="Y74" s="272"/>
      <c r="Z74" s="262"/>
      <c r="AA74" s="48">
        <f>K74</f>
        <v>2454.5</v>
      </c>
      <c r="AB74" s="504"/>
      <c r="AC74" s="142">
        <f t="shared" si="29"/>
        <v>1</v>
      </c>
      <c r="AE74" s="4">
        <f>E74*X74</f>
        <v>0</v>
      </c>
      <c r="AF74" s="4">
        <f>E74*Y74</f>
        <v>0</v>
      </c>
      <c r="AH74" s="4">
        <f>K74*AB74</f>
        <v>0</v>
      </c>
      <c r="AI74" s="4">
        <f>K74*AC74</f>
        <v>2454.5</v>
      </c>
      <c r="AK74" s="4">
        <f t="shared" si="30"/>
        <v>0</v>
      </c>
      <c r="AL74" s="4">
        <f t="shared" si="30"/>
        <v>2454.5</v>
      </c>
      <c r="AM74" s="4">
        <f t="shared" si="31"/>
        <v>2454.5</v>
      </c>
    </row>
    <row r="75" spans="1:78" ht="16.5" customHeight="1" x14ac:dyDescent="0.3">
      <c r="A75" s="372" t="s">
        <v>174</v>
      </c>
      <c r="B75" s="373" t="str">
        <f>'Federal Grad Student'!A22</f>
        <v xml:space="preserve"> Tuition/Fees</v>
      </c>
      <c r="C75" s="374"/>
      <c r="D75" s="375"/>
      <c r="E75" s="375"/>
      <c r="F75" s="375"/>
      <c r="G75" s="375"/>
      <c r="H75" s="358"/>
      <c r="I75" s="375"/>
      <c r="J75" s="375"/>
      <c r="K75" s="393">
        <f>IF($H$179="Yes", 'Sample_Federal Grad Student'!C43, 0)</f>
        <v>1795.5</v>
      </c>
      <c r="L75" s="425" t="s">
        <v>45</v>
      </c>
      <c r="M75" s="425"/>
      <c r="N75" s="866"/>
      <c r="O75" s="866"/>
      <c r="P75" s="866"/>
      <c r="Q75" s="866"/>
      <c r="R75" s="866"/>
      <c r="S75" s="866"/>
      <c r="T75" s="866"/>
      <c r="U75" s="866"/>
      <c r="W75" s="492"/>
      <c r="X75" s="261"/>
      <c r="Y75" s="272"/>
      <c r="Z75" s="262"/>
      <c r="AA75" s="9"/>
      <c r="AB75" s="261"/>
      <c r="AC75" s="142"/>
      <c r="AE75" s="49"/>
      <c r="AF75" s="49"/>
      <c r="AH75" s="50"/>
      <c r="AI75" s="50"/>
      <c r="AK75" s="50"/>
      <c r="AL75" s="50"/>
      <c r="AM75" s="50"/>
    </row>
    <row r="76" spans="1:78" ht="4.5" customHeight="1" x14ac:dyDescent="0.3">
      <c r="A76" s="376"/>
      <c r="B76" s="305"/>
      <c r="C76" s="349"/>
      <c r="D76" s="301"/>
      <c r="E76" s="301"/>
      <c r="F76" s="301"/>
      <c r="G76" s="301"/>
      <c r="H76" s="261"/>
      <c r="I76" s="375"/>
      <c r="J76" s="375"/>
      <c r="K76" s="394"/>
      <c r="L76" s="425"/>
      <c r="M76" s="425"/>
      <c r="N76" s="866"/>
      <c r="O76" s="866"/>
      <c r="P76" s="866"/>
      <c r="Q76" s="866"/>
      <c r="R76" s="866"/>
      <c r="S76" s="866"/>
      <c r="T76" s="866"/>
      <c r="U76" s="866"/>
      <c r="W76" s="492"/>
      <c r="X76" s="261"/>
      <c r="Y76" s="272"/>
      <c r="Z76" s="262"/>
      <c r="AA76" s="9"/>
      <c r="AB76" s="261"/>
      <c r="AC76" s="142"/>
      <c r="AE76" s="9"/>
      <c r="AF76" s="9"/>
      <c r="AH76" s="159"/>
      <c r="AI76" s="159"/>
      <c r="AK76" s="48"/>
      <c r="AL76" s="48"/>
      <c r="AM76" s="48">
        <f t="shared" si="31"/>
        <v>0</v>
      </c>
    </row>
    <row r="77" spans="1:78" ht="21.75" customHeight="1" x14ac:dyDescent="0.3">
      <c r="A77" s="377" t="s">
        <v>218</v>
      </c>
      <c r="B77" s="378"/>
      <c r="C77" s="379"/>
      <c r="D77" s="380"/>
      <c r="E77" s="379"/>
      <c r="F77" s="380"/>
      <c r="G77" s="227"/>
      <c r="H77" s="381" t="s">
        <v>45</v>
      </c>
      <c r="I77" s="345"/>
      <c r="J77" s="296" t="s">
        <v>263</v>
      </c>
      <c r="K77" s="487">
        <v>0</v>
      </c>
      <c r="L77" s="866"/>
      <c r="M77" s="866"/>
      <c r="N77" s="866"/>
      <c r="O77" s="866"/>
      <c r="P77" s="866"/>
      <c r="Q77" s="866"/>
      <c r="R77" s="866"/>
      <c r="S77" s="866"/>
      <c r="T77" s="866"/>
      <c r="U77" s="866"/>
      <c r="W77" s="505"/>
      <c r="X77" s="506"/>
      <c r="Y77" s="507"/>
      <c r="Z77" s="508"/>
      <c r="AA77" s="150"/>
      <c r="AB77" s="297"/>
      <c r="AC77" s="147"/>
      <c r="AH77" s="122">
        <v>0</v>
      </c>
      <c r="AI77" s="122">
        <v>0</v>
      </c>
      <c r="AK77" s="134"/>
      <c r="AL77" s="134"/>
      <c r="AM77" s="48">
        <f t="shared" si="31"/>
        <v>0</v>
      </c>
    </row>
    <row r="78" spans="1:78" ht="16.5" customHeight="1" thickBot="1" x14ac:dyDescent="0.3">
      <c r="A78" s="652" t="s">
        <v>66</v>
      </c>
      <c r="B78" s="652"/>
      <c r="C78" s="652"/>
      <c r="D78" s="652"/>
      <c r="E78" s="652"/>
      <c r="F78" s="652"/>
      <c r="G78" s="652"/>
      <c r="H78" s="652"/>
      <c r="I78" s="652"/>
      <c r="J78" s="653"/>
      <c r="K78" s="395">
        <f>SUM(E66:E70)+SUM(K66:K70)+SUM(K73:K75)+G77+K77</f>
        <v>26000</v>
      </c>
      <c r="L78" s="866"/>
      <c r="M78" s="866"/>
      <c r="N78" s="866"/>
      <c r="O78" s="866"/>
      <c r="P78" s="866"/>
      <c r="Q78" s="866"/>
      <c r="R78" s="866"/>
      <c r="S78" s="866"/>
      <c r="T78" s="866"/>
      <c r="U78" s="866"/>
      <c r="W78" s="866"/>
      <c r="X78" s="868"/>
      <c r="Y78" s="868"/>
      <c r="Z78" s="866"/>
      <c r="AA78" s="866"/>
      <c r="AB78" s="868"/>
      <c r="AC78" s="868"/>
      <c r="AE78" s="4">
        <f>SUM(AE66:AE75)</f>
        <v>0</v>
      </c>
      <c r="AF78" s="4">
        <f>SUM(AF66:AF75)</f>
        <v>0</v>
      </c>
      <c r="AH78" s="4">
        <f>SUM(AH66:AH75)</f>
        <v>5000</v>
      </c>
      <c r="AI78" s="4">
        <f>SUM(AI66:AI75)</f>
        <v>19204.5</v>
      </c>
      <c r="AK78" s="4">
        <f>SUM(AK66:AK75)</f>
        <v>5000</v>
      </c>
      <c r="AL78" s="4">
        <f>SUM(AL66:AL75)</f>
        <v>19204.5</v>
      </c>
      <c r="AM78" s="135">
        <f t="shared" si="31"/>
        <v>24204.5</v>
      </c>
    </row>
    <row r="79" spans="1:78" ht="16.5" customHeight="1" x14ac:dyDescent="0.25">
      <c r="A79" s="910"/>
      <c r="B79" s="226"/>
      <c r="C79" s="301"/>
      <c r="D79" s="301"/>
      <c r="E79" s="301"/>
      <c r="F79" s="301"/>
      <c r="G79" s="301"/>
      <c r="H79" s="301"/>
      <c r="I79" s="301"/>
      <c r="J79" s="301"/>
      <c r="K79" s="396"/>
      <c r="L79" s="866"/>
      <c r="M79" s="866"/>
      <c r="N79" s="866"/>
      <c r="O79" s="866"/>
      <c r="P79" s="866"/>
      <c r="Q79" s="866"/>
      <c r="R79" s="866"/>
      <c r="S79" s="866"/>
      <c r="T79" s="866"/>
      <c r="U79" s="866"/>
      <c r="W79" s="866"/>
      <c r="X79" s="868"/>
      <c r="Y79" s="868"/>
      <c r="Z79" s="866"/>
      <c r="AA79" s="866"/>
      <c r="AB79" s="868"/>
      <c r="AC79" s="868"/>
      <c r="AK79" s="126"/>
      <c r="AL79" s="121"/>
    </row>
    <row r="80" spans="1:78" ht="16.5" customHeight="1" x14ac:dyDescent="0.25">
      <c r="A80" s="428" t="s">
        <v>74</v>
      </c>
      <c r="B80" s="429"/>
      <c r="C80" s="301"/>
      <c r="D80" s="301"/>
      <c r="E80" s="301"/>
      <c r="F80" s="301"/>
      <c r="G80" s="301"/>
      <c r="H80" s="301"/>
      <c r="I80" s="301"/>
      <c r="J80" s="301"/>
      <c r="K80" s="397">
        <f>SUM(K29,K34,K39,K45,K50,K55,K63,K78)</f>
        <v>214455</v>
      </c>
      <c r="L80" s="866"/>
      <c r="M80" s="866"/>
      <c r="N80" s="866"/>
      <c r="O80" s="866"/>
      <c r="P80" s="866"/>
      <c r="Q80" s="866"/>
      <c r="R80" s="866"/>
      <c r="S80" s="866"/>
      <c r="T80" s="866"/>
      <c r="U80" s="866"/>
      <c r="W80" s="866"/>
      <c r="X80" s="868"/>
      <c r="Y80" s="868"/>
      <c r="Z80" s="866"/>
      <c r="AA80" s="866"/>
      <c r="AB80" s="868"/>
      <c r="AC80" s="868"/>
      <c r="AI80" s="126" t="s">
        <v>165</v>
      </c>
      <c r="AK80" s="121">
        <f>AK29+AK39+AK45+AK50+AK58+AK62+AK78</f>
        <v>55880</v>
      </c>
      <c r="AL80" s="121">
        <f>AL29+AL39+AL45+AL50+AL58+AL62+AL78</f>
        <v>69204.5</v>
      </c>
      <c r="AM80" s="121">
        <f>AM29+AM39+AM45+AM50+AM58+AM62+AM78</f>
        <v>125084.5</v>
      </c>
      <c r="AN80" s="509">
        <f>I101</f>
        <v>129704.5</v>
      </c>
      <c r="AO80" s="509">
        <f>AN80-AM80</f>
        <v>4620</v>
      </c>
    </row>
    <row r="81" spans="1:47" ht="16.5" customHeight="1" x14ac:dyDescent="0.25">
      <c r="A81" s="428"/>
      <c r="B81" s="429"/>
      <c r="C81" s="301"/>
      <c r="D81" s="301"/>
      <c r="E81" s="301"/>
      <c r="F81" s="301"/>
      <c r="G81" s="301"/>
      <c r="H81" s="301"/>
      <c r="I81" s="301"/>
      <c r="J81" s="301"/>
      <c r="K81" s="338"/>
      <c r="L81" s="866"/>
      <c r="M81" s="866"/>
      <c r="N81" s="866"/>
      <c r="O81" s="866"/>
      <c r="P81" s="866"/>
      <c r="Q81" s="866"/>
      <c r="R81" s="866"/>
      <c r="S81" s="866"/>
      <c r="T81" s="866"/>
      <c r="U81" s="866"/>
      <c r="W81" s="866"/>
      <c r="X81" s="868"/>
      <c r="Y81" s="868"/>
      <c r="Z81" s="866"/>
      <c r="AA81" s="866"/>
      <c r="AB81" s="868"/>
      <c r="AC81" s="868"/>
      <c r="AI81" s="867" t="s">
        <v>179</v>
      </c>
      <c r="AK81" s="101">
        <f>I90</f>
        <v>0.69499999999999995</v>
      </c>
      <c r="AL81" s="101">
        <f>I94</f>
        <v>0.26</v>
      </c>
      <c r="AM81" s="220">
        <f>(AK81*AK83)+(AL81*AL83)</f>
        <v>0.45433103222221777</v>
      </c>
    </row>
    <row r="82" spans="1:47" ht="16.5" customHeight="1" x14ac:dyDescent="0.25">
      <c r="A82" s="341" t="s">
        <v>23</v>
      </c>
      <c r="B82" s="342"/>
      <c r="C82" s="301"/>
      <c r="D82" s="301"/>
      <c r="E82" s="301"/>
      <c r="F82" s="301"/>
      <c r="G82" s="301"/>
      <c r="H82" s="301"/>
      <c r="I82" s="301"/>
      <c r="J82" s="301"/>
      <c r="K82" s="338"/>
      <c r="L82" s="866"/>
      <c r="M82" s="866"/>
      <c r="N82" s="866"/>
      <c r="O82" s="866"/>
      <c r="P82" s="866"/>
      <c r="Q82" s="866"/>
      <c r="R82" s="866"/>
      <c r="S82" s="866"/>
      <c r="T82" s="866"/>
      <c r="U82" s="866"/>
      <c r="W82" s="866"/>
      <c r="X82" s="868"/>
      <c r="Y82" s="868"/>
      <c r="Z82" s="866"/>
      <c r="AA82" s="866"/>
      <c r="AB82" s="868"/>
      <c r="AC82" s="868"/>
      <c r="AI82" s="126" t="s">
        <v>181</v>
      </c>
      <c r="AK82" s="121">
        <f>AK80*AK81</f>
        <v>38836.6</v>
      </c>
      <c r="AL82" s="121">
        <f>AL80*AL81</f>
        <v>17993.170000000002</v>
      </c>
      <c r="AM82" s="128">
        <f>AK82+AL82</f>
        <v>56829.770000000004</v>
      </c>
    </row>
    <row r="83" spans="1:47" ht="16.5" customHeight="1" x14ac:dyDescent="0.25">
      <c r="A83" s="910" t="s">
        <v>26</v>
      </c>
      <c r="B83" s="342"/>
      <c r="C83" s="301"/>
      <c r="D83" s="301"/>
      <c r="E83" s="301"/>
      <c r="F83" s="301"/>
      <c r="G83" s="301"/>
      <c r="H83" s="301"/>
      <c r="I83" s="398">
        <f>K80-K63+I61</f>
        <v>140880</v>
      </c>
      <c r="J83" s="301"/>
      <c r="K83" s="338"/>
      <c r="L83" s="326"/>
      <c r="M83" s="326"/>
      <c r="N83" s="326"/>
      <c r="O83" s="326"/>
      <c r="P83" s="326"/>
      <c r="Q83" s="326"/>
      <c r="R83" s="326"/>
      <c r="S83" s="326"/>
      <c r="T83" s="326"/>
      <c r="U83" s="326"/>
      <c r="V83" s="13"/>
      <c r="W83" s="326"/>
      <c r="X83" s="510"/>
      <c r="Y83" s="510"/>
      <c r="Z83" s="326"/>
      <c r="AA83" s="326"/>
      <c r="AB83" s="510"/>
      <c r="AC83" s="510"/>
      <c r="AD83" s="13"/>
      <c r="AE83" s="13"/>
      <c r="AI83" s="126" t="s">
        <v>183</v>
      </c>
      <c r="AK83" s="125">
        <f>AK80/AM80</f>
        <v>0.44673800510854661</v>
      </c>
      <c r="AL83" s="125">
        <f>AL80/AM80</f>
        <v>0.55326199489145333</v>
      </c>
      <c r="AM83" s="155">
        <f>AK83+AL83</f>
        <v>1</v>
      </c>
      <c r="AN83" s="326"/>
      <c r="AO83" s="326"/>
      <c r="AP83" s="326"/>
      <c r="AQ83" s="326"/>
      <c r="AR83" s="326"/>
      <c r="AS83" s="326"/>
      <c r="AT83" s="326"/>
      <c r="AU83" s="326"/>
    </row>
    <row r="84" spans="1:47" ht="16.5" customHeight="1" thickBot="1" x14ac:dyDescent="0.3">
      <c r="A84" s="910" t="s">
        <v>75</v>
      </c>
      <c r="B84" s="226"/>
      <c r="C84" s="301"/>
      <c r="D84" s="301"/>
      <c r="E84" s="301"/>
      <c r="F84" s="301"/>
      <c r="G84" s="301"/>
      <c r="H84" s="301"/>
      <c r="I84" s="398">
        <f>K80-J63</f>
        <v>195380</v>
      </c>
      <c r="J84" s="301"/>
      <c r="K84" s="516"/>
      <c r="L84" s="326"/>
      <c r="M84" s="326"/>
      <c r="N84" s="326"/>
      <c r="O84" s="326"/>
      <c r="P84" s="326"/>
      <c r="Q84" s="326"/>
      <c r="R84" s="326"/>
      <c r="S84" s="326"/>
      <c r="T84" s="326"/>
      <c r="U84" s="326"/>
      <c r="V84" s="13"/>
      <c r="W84" s="326"/>
      <c r="X84" s="510"/>
      <c r="Y84" s="510"/>
      <c r="Z84" s="326"/>
      <c r="AA84" s="326"/>
      <c r="AB84" s="510"/>
      <c r="AC84" s="510"/>
      <c r="AD84" s="13"/>
      <c r="AE84" s="13"/>
      <c r="AH84" s="13"/>
      <c r="AI84" s="13"/>
      <c r="AJ84" s="13"/>
      <c r="AK84" s="13"/>
      <c r="AL84" s="13"/>
      <c r="AN84" s="327"/>
      <c r="AO84" s="326"/>
      <c r="AP84" s="326"/>
      <c r="AQ84" s="326"/>
      <c r="AR84" s="326"/>
      <c r="AS84" s="326"/>
      <c r="AT84" s="326"/>
      <c r="AU84" s="326"/>
    </row>
    <row r="85" spans="1:47" ht="16.5" customHeight="1" thickTop="1" thickBot="1" x14ac:dyDescent="0.3">
      <c r="A85" s="910" t="s">
        <v>108</v>
      </c>
      <c r="B85" s="226"/>
      <c r="C85" s="301"/>
      <c r="D85" s="301"/>
      <c r="E85" s="301"/>
      <c r="F85" s="301"/>
      <c r="G85" s="301"/>
      <c r="H85" s="301"/>
      <c r="I85" s="301"/>
      <c r="J85" s="301"/>
      <c r="K85" s="609">
        <v>200000</v>
      </c>
      <c r="L85" s="426"/>
      <c r="M85" s="426"/>
      <c r="N85" s="866"/>
      <c r="O85" s="326"/>
      <c r="P85" s="326"/>
      <c r="Q85" s="326"/>
      <c r="R85" s="326"/>
      <c r="S85" s="326"/>
      <c r="T85" s="326"/>
      <c r="U85" s="326"/>
      <c r="V85" s="13"/>
      <c r="W85" s="326"/>
      <c r="X85" s="510"/>
      <c r="Y85" s="510"/>
      <c r="Z85" s="326"/>
      <c r="AA85" s="326"/>
      <c r="AB85" s="510"/>
      <c r="AC85" s="510"/>
      <c r="AD85" s="13"/>
      <c r="AE85" s="13"/>
      <c r="AI85" s="126" t="s">
        <v>190</v>
      </c>
      <c r="AM85" s="121">
        <f>K80</f>
        <v>214455</v>
      </c>
      <c r="AN85" s="326"/>
      <c r="AO85" s="326"/>
      <c r="AP85" s="326"/>
      <c r="AQ85" s="326"/>
      <c r="AR85" s="326"/>
      <c r="AS85" s="326"/>
      <c r="AT85" s="326"/>
      <c r="AU85" s="326"/>
    </row>
    <row r="86" spans="1:47" ht="16.5" customHeight="1" thickTop="1" x14ac:dyDescent="0.25">
      <c r="A86" s="910"/>
      <c r="B86" s="226"/>
      <c r="C86" s="301"/>
      <c r="D86" s="301"/>
      <c r="E86" s="301"/>
      <c r="F86" s="301"/>
      <c r="G86" s="301"/>
      <c r="H86" s="301"/>
      <c r="I86" s="301"/>
      <c r="J86" s="301"/>
      <c r="K86" s="517"/>
      <c r="L86" s="326"/>
      <c r="M86" s="326"/>
      <c r="N86" s="326"/>
      <c r="O86" s="326"/>
      <c r="P86" s="326"/>
      <c r="Q86" s="326"/>
      <c r="R86" s="326"/>
      <c r="S86" s="326"/>
      <c r="T86" s="326"/>
      <c r="U86" s="326"/>
      <c r="V86" s="13"/>
      <c r="W86" s="326"/>
      <c r="X86" s="510"/>
      <c r="Y86" s="510"/>
      <c r="Z86" s="326"/>
      <c r="AA86" s="326"/>
      <c r="AB86" s="510"/>
      <c r="AC86" s="510"/>
      <c r="AD86" s="13"/>
      <c r="AE86" s="13"/>
      <c r="AF86" s="13"/>
      <c r="AI86" s="126" t="s">
        <v>191</v>
      </c>
      <c r="AM86" s="121">
        <f>I84</f>
        <v>195380</v>
      </c>
      <c r="AN86" s="326"/>
      <c r="AO86" s="326"/>
      <c r="AP86" s="326"/>
      <c r="AQ86" s="326"/>
      <c r="AR86" s="326"/>
      <c r="AS86" s="326"/>
      <c r="AT86" s="326"/>
      <c r="AU86" s="326"/>
    </row>
    <row r="87" spans="1:47" ht="16.5" customHeight="1" x14ac:dyDescent="0.25">
      <c r="A87" s="428"/>
      <c r="B87" s="281"/>
      <c r="C87" s="301"/>
      <c r="D87" s="301"/>
      <c r="E87" s="301"/>
      <c r="F87" s="301"/>
      <c r="G87" s="301"/>
      <c r="H87" s="301"/>
      <c r="I87" s="281"/>
      <c r="J87" s="301"/>
      <c r="K87" s="518"/>
      <c r="L87" s="866"/>
      <c r="M87" s="866"/>
      <c r="N87" s="866"/>
      <c r="O87" s="866"/>
      <c r="P87" s="866"/>
      <c r="Q87" s="866"/>
      <c r="R87" s="866"/>
      <c r="S87" s="866"/>
      <c r="T87" s="866"/>
      <c r="U87" s="866"/>
      <c r="W87" s="866"/>
      <c r="X87" s="868"/>
      <c r="Y87" s="868"/>
      <c r="Z87" s="866"/>
      <c r="AA87" s="866"/>
      <c r="AB87" s="868"/>
      <c r="AC87" s="868"/>
      <c r="AF87" s="13"/>
      <c r="AG87" s="13"/>
    </row>
    <row r="88" spans="1:47" ht="24" customHeight="1" x14ac:dyDescent="0.25">
      <c r="A88" s="430" t="s">
        <v>212</v>
      </c>
      <c r="B88" s="431"/>
      <c r="C88" s="432"/>
      <c r="D88" s="432"/>
      <c r="E88" s="432"/>
      <c r="F88" s="432"/>
      <c r="G88" s="432"/>
      <c r="H88" s="432"/>
      <c r="I88" s="610" t="s">
        <v>434</v>
      </c>
      <c r="J88" s="261"/>
      <c r="K88" s="519"/>
      <c r="L88" s="866"/>
      <c r="M88" s="866"/>
      <c r="N88" s="866"/>
      <c r="O88" s="866"/>
      <c r="P88" s="866"/>
      <c r="Q88" s="866"/>
      <c r="R88" s="866"/>
      <c r="S88" s="866"/>
      <c r="T88" s="866"/>
      <c r="U88" s="866"/>
      <c r="W88" s="866"/>
      <c r="X88" s="868"/>
      <c r="Y88" s="868"/>
      <c r="Z88" s="866"/>
      <c r="AA88" s="866"/>
      <c r="AB88" s="868"/>
      <c r="AC88" s="868"/>
      <c r="AF88" s="13"/>
      <c r="AG88" s="13"/>
    </row>
    <row r="89" spans="1:47" ht="16.5" customHeight="1" thickBot="1" x14ac:dyDescent="0.3">
      <c r="A89" s="403" t="s">
        <v>199</v>
      </c>
      <c r="B89" s="404"/>
      <c r="C89" s="261"/>
      <c r="D89" s="261"/>
      <c r="E89" s="261"/>
      <c r="F89" s="261"/>
      <c r="G89" s="261"/>
      <c r="H89" s="261"/>
      <c r="I89" s="399" t="str">
        <f>IF(AND(SetUp!C4="Yes",C113="Yes",I188="Yes"),AK108, IF(AND(SetUp!C4="Yes", C113="No", I188="Yes"), AK80, " "))</f>
        <v xml:space="preserve"> </v>
      </c>
      <c r="J89" s="261"/>
      <c r="K89" s="518"/>
      <c r="L89" s="866"/>
      <c r="M89" s="866"/>
      <c r="N89" s="866"/>
      <c r="O89" s="866"/>
      <c r="P89" s="866"/>
      <c r="Q89" s="866"/>
      <c r="R89" s="866"/>
      <c r="S89" s="866"/>
      <c r="T89" s="866"/>
      <c r="U89" s="866"/>
      <c r="W89" s="866"/>
      <c r="X89" s="868"/>
      <c r="Y89" s="868"/>
      <c r="Z89" s="866"/>
      <c r="AA89" s="866"/>
      <c r="AB89" s="868"/>
      <c r="AC89" s="868"/>
      <c r="AG89" s="13"/>
    </row>
    <row r="90" spans="1:47" ht="16.5" customHeight="1" thickTop="1" thickBot="1" x14ac:dyDescent="0.3">
      <c r="A90" s="910" t="s">
        <v>188</v>
      </c>
      <c r="B90" s="404"/>
      <c r="C90" s="261"/>
      <c r="D90" s="261"/>
      <c r="E90" s="261"/>
      <c r="F90" s="261"/>
      <c r="G90" s="261"/>
      <c r="H90" s="261"/>
      <c r="I90" s="612">
        <v>0.69499999999999995</v>
      </c>
      <c r="J90" s="261"/>
      <c r="K90" s="518"/>
      <c r="L90" s="866"/>
      <c r="M90" s="866"/>
      <c r="N90" s="866"/>
      <c r="O90" s="866"/>
      <c r="P90" s="866"/>
      <c r="Q90" s="866"/>
      <c r="R90" s="866"/>
      <c r="S90" s="866"/>
      <c r="T90" s="866"/>
      <c r="U90" s="866"/>
      <c r="W90" s="866"/>
      <c r="X90" s="868"/>
      <c r="Y90" s="868"/>
      <c r="Z90" s="866"/>
      <c r="AA90" s="866"/>
      <c r="AB90" s="868"/>
      <c r="AC90" s="868"/>
    </row>
    <row r="91" spans="1:47" ht="16.5" customHeight="1" thickTop="1" x14ac:dyDescent="0.25">
      <c r="A91" s="403" t="s">
        <v>201</v>
      </c>
      <c r="B91" s="404"/>
      <c r="C91" s="261"/>
      <c r="D91" s="261"/>
      <c r="E91" s="261"/>
      <c r="F91" s="261"/>
      <c r="G91" s="261"/>
      <c r="H91" s="261"/>
      <c r="I91" s="399" t="str">
        <f>IF(AND(SetUp!C4="Yes",C113="Yes",I188="Yes"),AK110, IF(AND(SetUp!C4="Yes", C113="No", I188="Yes"), AK82, " "))</f>
        <v xml:space="preserve"> </v>
      </c>
      <c r="J91" s="261"/>
      <c r="K91" s="518"/>
      <c r="L91" s="866"/>
      <c r="M91" s="866"/>
      <c r="N91" s="866"/>
      <c r="O91" s="866"/>
      <c r="P91" s="866"/>
      <c r="Q91" s="866"/>
      <c r="R91" s="866"/>
      <c r="S91" s="866"/>
      <c r="T91" s="866"/>
      <c r="U91" s="866"/>
      <c r="W91" s="866"/>
      <c r="X91" s="868"/>
      <c r="Y91" s="868"/>
      <c r="Z91" s="866"/>
      <c r="AA91" s="866"/>
      <c r="AB91" s="868"/>
      <c r="AC91" s="868"/>
    </row>
    <row r="92" spans="1:47" ht="8.25" customHeight="1" x14ac:dyDescent="0.3">
      <c r="A92" s="405"/>
      <c r="B92" s="404"/>
      <c r="C92" s="261"/>
      <c r="D92" s="261"/>
      <c r="E92" s="261"/>
      <c r="F92" s="261"/>
      <c r="G92" s="406"/>
      <c r="H92" s="407"/>
      <c r="I92" s="400"/>
      <c r="J92" s="261"/>
      <c r="K92" s="518"/>
      <c r="L92" s="866"/>
      <c r="M92" s="866"/>
      <c r="N92" s="866"/>
      <c r="O92" s="866"/>
      <c r="P92" s="866"/>
      <c r="Q92" s="866"/>
      <c r="R92" s="866"/>
      <c r="S92" s="866"/>
      <c r="T92" s="866"/>
      <c r="U92" s="866"/>
      <c r="W92" s="866"/>
      <c r="X92" s="868"/>
      <c r="Y92" s="868"/>
      <c r="Z92" s="866"/>
      <c r="AA92" s="866"/>
      <c r="AB92" s="868"/>
      <c r="AC92" s="868"/>
    </row>
    <row r="93" spans="1:47" ht="16.5" customHeight="1" thickBot="1" x14ac:dyDescent="0.3">
      <c r="A93" s="403" t="s">
        <v>200</v>
      </c>
      <c r="B93" s="404"/>
      <c r="C93" s="261"/>
      <c r="D93" s="261"/>
      <c r="E93" s="261"/>
      <c r="F93" s="261"/>
      <c r="G93" s="261"/>
      <c r="H93" s="261"/>
      <c r="I93" s="399" t="str">
        <f>IF(AND(SetUp!C4="Yes",C113="Yes",I188="Yes"),AL108,IF(AND(SetUp!C4="Yes",C113="No",I188="Yes"),AL80," "))</f>
        <v xml:space="preserve"> </v>
      </c>
      <c r="J93" s="261"/>
      <c r="K93" s="518"/>
      <c r="L93" s="866"/>
      <c r="M93" s="866"/>
      <c r="N93" s="866"/>
      <c r="O93" s="866"/>
      <c r="P93" s="866"/>
      <c r="Q93" s="866"/>
      <c r="R93" s="866"/>
      <c r="S93" s="866"/>
      <c r="T93" s="866"/>
      <c r="U93" s="866"/>
      <c r="W93" s="866"/>
      <c r="X93" s="868"/>
      <c r="Y93" s="868"/>
      <c r="Z93" s="866"/>
      <c r="AA93" s="866"/>
      <c r="AB93" s="868"/>
      <c r="AC93" s="868"/>
    </row>
    <row r="94" spans="1:47" ht="16.5" customHeight="1" thickTop="1" thickBot="1" x14ac:dyDescent="0.3">
      <c r="A94" s="910" t="s">
        <v>52</v>
      </c>
      <c r="B94" s="404"/>
      <c r="C94" s="261"/>
      <c r="D94" s="261"/>
      <c r="E94" s="261"/>
      <c r="F94" s="261"/>
      <c r="G94" s="261"/>
      <c r="H94" s="261"/>
      <c r="I94" s="612">
        <v>0.26</v>
      </c>
      <c r="J94" s="261"/>
      <c r="K94" s="518"/>
      <c r="L94" s="866"/>
      <c r="M94" s="866"/>
      <c r="N94" s="866"/>
      <c r="O94" s="866"/>
      <c r="P94" s="866"/>
      <c r="Q94" s="866"/>
      <c r="R94" s="866"/>
      <c r="S94" s="866"/>
      <c r="T94" s="866"/>
      <c r="U94" s="866"/>
      <c r="W94" s="866"/>
      <c r="X94" s="868"/>
      <c r="Y94" s="868"/>
      <c r="Z94" s="866"/>
      <c r="AA94" s="866"/>
      <c r="AB94" s="868"/>
      <c r="AC94" s="868"/>
    </row>
    <row r="95" spans="1:47" ht="16.5" customHeight="1" thickTop="1" x14ac:dyDescent="0.25">
      <c r="A95" s="403" t="s">
        <v>202</v>
      </c>
      <c r="B95" s="226"/>
      <c r="C95" s="301"/>
      <c r="D95" s="301"/>
      <c r="E95" s="301"/>
      <c r="F95" s="301"/>
      <c r="G95" s="301"/>
      <c r="H95" s="301"/>
      <c r="I95" s="401" t="str">
        <f>IF(AND(SetUp!C4="Yes",C113="Yes",I188="Yes"),AL110,IF(AND(SetUp!C4="Yes",C113="No",I188="Yes"),AL82," "))</f>
        <v xml:space="preserve"> </v>
      </c>
      <c r="J95" s="301"/>
      <c r="K95" s="518"/>
      <c r="L95" s="866"/>
      <c r="M95" s="866"/>
      <c r="N95" s="866"/>
      <c r="O95" s="866"/>
      <c r="P95" s="866"/>
      <c r="Q95" s="866"/>
      <c r="R95" s="866"/>
      <c r="S95" s="866"/>
      <c r="T95" s="866"/>
      <c r="U95" s="866"/>
      <c r="W95" s="866"/>
      <c r="X95" s="868"/>
      <c r="Y95" s="868"/>
      <c r="Z95" s="866"/>
      <c r="AA95" s="866"/>
      <c r="AB95" s="868"/>
      <c r="AC95" s="868"/>
    </row>
    <row r="96" spans="1:47" ht="5.25" customHeight="1" x14ac:dyDescent="0.3">
      <c r="A96" s="405"/>
      <c r="B96" s="226"/>
      <c r="C96" s="301"/>
      <c r="D96" s="301"/>
      <c r="E96" s="301"/>
      <c r="F96" s="301"/>
      <c r="G96" s="406"/>
      <c r="H96" s="407"/>
      <c r="I96" s="434"/>
      <c r="J96" s="301"/>
      <c r="K96" s="518"/>
      <c r="L96" s="866"/>
      <c r="M96" s="866"/>
      <c r="N96" s="866"/>
      <c r="O96" s="866"/>
      <c r="P96" s="866"/>
      <c r="Q96" s="866"/>
      <c r="R96" s="866"/>
      <c r="S96" s="866"/>
      <c r="T96" s="866"/>
      <c r="U96" s="866"/>
      <c r="W96" s="866"/>
      <c r="X96" s="868"/>
      <c r="Y96" s="868"/>
      <c r="Z96" s="866"/>
      <c r="AA96" s="866"/>
      <c r="AB96" s="868"/>
      <c r="AC96" s="868"/>
    </row>
    <row r="97" spans="1:47" ht="16.5" customHeight="1" x14ac:dyDescent="0.25">
      <c r="A97" s="403"/>
      <c r="B97" s="412" t="str">
        <f>IF(I188="Yes", "Combined F&amp;A Rate", " ")</f>
        <v xml:space="preserve"> </v>
      </c>
      <c r="C97" s="413" t="str">
        <f>IF(I188="Yes", AM81, " ")</f>
        <v xml:space="preserve"> </v>
      </c>
      <c r="D97" s="866"/>
      <c r="E97" s="301"/>
      <c r="F97" s="301"/>
      <c r="G97" s="410" t="str">
        <f>IF(I188="Yes", "Amount of Base Subtotal", " ")</f>
        <v xml:space="preserve"> </v>
      </c>
      <c r="H97" s="411" t="str">
        <f>IF(I188="No"," ",I89+I93)</f>
        <v xml:space="preserve"> </v>
      </c>
      <c r="I97" s="435"/>
      <c r="J97" s="301"/>
      <c r="K97" s="518"/>
      <c r="L97" s="866"/>
      <c r="M97" s="866"/>
      <c r="N97" s="866"/>
      <c r="O97" s="866"/>
      <c r="P97" s="866"/>
      <c r="Q97" s="866"/>
      <c r="R97" s="866"/>
      <c r="S97" s="866"/>
      <c r="T97" s="866"/>
      <c r="U97" s="866"/>
      <c r="W97" s="866"/>
      <c r="X97" s="868"/>
      <c r="Y97" s="868"/>
      <c r="Z97" s="866"/>
      <c r="AA97" s="866"/>
      <c r="AB97" s="868"/>
      <c r="AC97" s="868"/>
    </row>
    <row r="98" spans="1:47" ht="16.5" customHeight="1" thickBot="1" x14ac:dyDescent="0.3">
      <c r="A98" s="408" t="s">
        <v>156</v>
      </c>
      <c r="B98" s="409"/>
      <c r="C98" s="375"/>
      <c r="D98" s="375"/>
      <c r="E98" s="375"/>
      <c r="F98" s="375"/>
      <c r="G98" s="375"/>
      <c r="H98" s="375"/>
      <c r="I98" s="402" t="str">
        <f>IF(AND(SetUp!C4="Yes",C113="Yes",I188="Yes"),I91+I95, IF(AND(SetUp!C4="Yes", C113="No", I188="Yes"), I91+I95, " "))</f>
        <v xml:space="preserve"> </v>
      </c>
      <c r="J98" s="301"/>
      <c r="K98" s="518"/>
      <c r="L98" s="866"/>
      <c r="M98" s="866"/>
      <c r="N98" s="866"/>
      <c r="O98" s="866"/>
      <c r="P98" s="866"/>
      <c r="Q98" s="866"/>
      <c r="R98" s="866"/>
      <c r="S98" s="866"/>
      <c r="T98" s="866"/>
      <c r="U98" s="866"/>
      <c r="W98" s="866"/>
      <c r="X98" s="868"/>
      <c r="Y98" s="868"/>
      <c r="Z98" s="866"/>
      <c r="AA98" s="866"/>
      <c r="AB98" s="868"/>
      <c r="AC98" s="868"/>
      <c r="AI98" s="127" t="s">
        <v>193</v>
      </c>
      <c r="AM98" s="121">
        <f>K85</f>
        <v>200000</v>
      </c>
    </row>
    <row r="99" spans="1:47" ht="16.5" customHeight="1" x14ac:dyDescent="0.25">
      <c r="A99" s="910"/>
      <c r="B99" s="226"/>
      <c r="C99" s="262"/>
      <c r="D99" s="262"/>
      <c r="E99" s="262"/>
      <c r="F99" s="262"/>
      <c r="G99" s="262"/>
      <c r="H99" s="415"/>
      <c r="I99" s="22"/>
      <c r="J99" s="301"/>
      <c r="K99" s="416"/>
      <c r="L99" s="866"/>
      <c r="M99" s="866"/>
      <c r="N99" s="866"/>
      <c r="O99" s="866"/>
      <c r="P99" s="866"/>
      <c r="Q99" s="866"/>
      <c r="R99" s="866"/>
      <c r="S99" s="866"/>
      <c r="T99" s="866"/>
      <c r="U99" s="866"/>
      <c r="W99" s="866"/>
      <c r="X99" s="868"/>
      <c r="Y99" s="868"/>
      <c r="Z99" s="866"/>
      <c r="AA99" s="866"/>
      <c r="AB99" s="868"/>
      <c r="AC99" s="868"/>
      <c r="AH99" s="13"/>
      <c r="AI99" s="127" t="s">
        <v>192</v>
      </c>
      <c r="AJ99" s="13"/>
      <c r="AK99" s="14"/>
      <c r="AL99" s="4"/>
      <c r="AM99" s="128">
        <f>AM86</f>
        <v>195380</v>
      </c>
    </row>
    <row r="100" spans="1:47" ht="16.5" customHeight="1" x14ac:dyDescent="0.25">
      <c r="A100" s="341" t="s">
        <v>49</v>
      </c>
      <c r="B100" s="342"/>
      <c r="C100" s="301"/>
      <c r="D100" s="301"/>
      <c r="E100" s="301"/>
      <c r="F100" s="301"/>
      <c r="G100" s="301"/>
      <c r="H100" s="301"/>
      <c r="I100" s="22"/>
      <c r="J100" s="301"/>
      <c r="K100" s="338"/>
      <c r="L100" s="326"/>
      <c r="M100" s="326"/>
      <c r="N100" s="326"/>
      <c r="O100" s="326"/>
      <c r="P100" s="326"/>
      <c r="Q100" s="326"/>
      <c r="R100" s="326"/>
      <c r="S100" s="326"/>
      <c r="T100" s="326"/>
      <c r="U100" s="326"/>
      <c r="V100" s="13"/>
      <c r="W100" s="326"/>
      <c r="X100" s="510"/>
      <c r="Y100" s="510"/>
      <c r="Z100" s="326"/>
      <c r="AA100" s="326"/>
      <c r="AB100" s="510"/>
      <c r="AC100" s="510"/>
      <c r="AD100" s="13"/>
      <c r="AE100" s="13"/>
      <c r="AF100" s="13"/>
      <c r="AG100" s="13"/>
      <c r="AH100" s="13"/>
      <c r="AI100" s="127" t="s">
        <v>163</v>
      </c>
      <c r="AJ100" s="13"/>
      <c r="AK100" s="13"/>
      <c r="AM100" s="158">
        <f>IF(AM99&gt;AM98, 0, AM98-AM99)</f>
        <v>4620</v>
      </c>
      <c r="AN100" s="326"/>
      <c r="AO100" s="326"/>
      <c r="AP100" s="326"/>
      <c r="AQ100" s="326"/>
      <c r="AR100" s="326"/>
      <c r="AS100" s="326"/>
      <c r="AT100" s="326"/>
      <c r="AU100" s="326"/>
    </row>
    <row r="101" spans="1:47" ht="16.5" customHeight="1" thickBot="1" x14ac:dyDescent="0.3">
      <c r="A101" s="910" t="s">
        <v>24</v>
      </c>
      <c r="B101" s="226"/>
      <c r="C101" s="301"/>
      <c r="D101" s="301"/>
      <c r="E101" s="301"/>
      <c r="F101" s="301"/>
      <c r="G101" s="301"/>
      <c r="H101" s="301"/>
      <c r="I101" s="411">
        <f>IF(AND(SetUp!C4="Yes",C113="Yes"),K85-I63-G77-K75-K55-K34+K177+K133,IF(AND(SetUp!C4="Yes",C113="No"),I84-I63-G77-K75-K55-K34+K177+K133, K80-K221-K222-K223))</f>
        <v>129704.5</v>
      </c>
      <c r="J101" s="261"/>
      <c r="K101" s="338"/>
      <c r="L101" s="426"/>
      <c r="M101" s="426"/>
      <c r="N101" s="427"/>
      <c r="O101" s="326"/>
      <c r="P101" s="326"/>
      <c r="Q101" s="326"/>
      <c r="R101" s="326"/>
      <c r="S101" s="326"/>
      <c r="T101" s="326"/>
      <c r="U101" s="326"/>
      <c r="V101" s="13"/>
      <c r="W101" s="326"/>
      <c r="X101" s="510"/>
      <c r="Y101" s="510"/>
      <c r="Z101" s="326"/>
      <c r="AA101" s="326"/>
      <c r="AB101" s="510"/>
      <c r="AC101" s="510"/>
      <c r="AD101" s="13"/>
      <c r="AE101" s="13"/>
      <c r="AF101" s="13"/>
      <c r="AG101" s="13"/>
      <c r="AI101" s="126" t="s">
        <v>164</v>
      </c>
      <c r="AK101" s="125">
        <f>AK80/AM80</f>
        <v>0.44673800510854661</v>
      </c>
      <c r="AL101" s="125">
        <f>AL80/AM80</f>
        <v>0.55326199489145333</v>
      </c>
      <c r="AM101" s="152">
        <f>AK101+AL101</f>
        <v>1</v>
      </c>
      <c r="AN101" s="326"/>
      <c r="AO101" s="326"/>
      <c r="AP101" s="326"/>
      <c r="AQ101" s="326"/>
      <c r="AR101" s="326"/>
      <c r="AS101" s="326"/>
      <c r="AT101" s="326"/>
      <c r="AU101" s="326"/>
    </row>
    <row r="102" spans="1:47" ht="16.5" customHeight="1" thickTop="1" thickBot="1" x14ac:dyDescent="0.3">
      <c r="A102" s="910" t="s">
        <v>52</v>
      </c>
      <c r="B102" s="226"/>
      <c r="C102" s="301"/>
      <c r="D102" s="301"/>
      <c r="E102" s="301"/>
      <c r="F102" s="301"/>
      <c r="G102" s="301"/>
      <c r="H102" s="301"/>
      <c r="I102" s="616">
        <v>0.69499999999999995</v>
      </c>
      <c r="J102" s="433"/>
      <c r="K102" s="520"/>
      <c r="L102" s="326"/>
      <c r="M102" s="326"/>
      <c r="N102" s="427"/>
      <c r="O102" s="326"/>
      <c r="P102" s="326"/>
      <c r="Q102" s="326"/>
      <c r="R102" s="326"/>
      <c r="S102" s="326"/>
      <c r="T102" s="326"/>
      <c r="U102" s="326"/>
      <c r="V102" s="13"/>
      <c r="W102" s="326"/>
      <c r="X102" s="510"/>
      <c r="Y102" s="510"/>
      <c r="Z102" s="326"/>
      <c r="AA102" s="326"/>
      <c r="AB102" s="510"/>
      <c r="AC102" s="510"/>
      <c r="AD102" s="13"/>
      <c r="AE102" s="13"/>
      <c r="AF102" s="13"/>
      <c r="AG102" s="13"/>
      <c r="AM102" s="13"/>
      <c r="AN102" s="326"/>
      <c r="AO102" s="326"/>
      <c r="AP102" s="326"/>
      <c r="AQ102" s="326"/>
      <c r="AR102" s="326"/>
      <c r="AS102" s="326"/>
      <c r="AT102" s="326"/>
      <c r="AU102" s="326"/>
    </row>
    <row r="103" spans="1:47" ht="16.5" customHeight="1" thickTop="1" thickBot="1" x14ac:dyDescent="0.3">
      <c r="A103" s="428" t="s">
        <v>48</v>
      </c>
      <c r="B103" s="226"/>
      <c r="C103" s="301"/>
      <c r="D103" s="301"/>
      <c r="E103" s="301"/>
      <c r="F103" s="301"/>
      <c r="G103" s="301"/>
      <c r="H103" s="301"/>
      <c r="I103" s="301"/>
      <c r="J103" s="301"/>
      <c r="K103" s="414">
        <f>IF(I188="No", I101*I102, " ")</f>
        <v>90144.627499999988</v>
      </c>
      <c r="L103" s="866"/>
      <c r="M103" s="866"/>
      <c r="N103" s="866"/>
      <c r="O103" s="866"/>
      <c r="P103" s="866"/>
      <c r="Q103" s="866"/>
      <c r="R103" s="866"/>
      <c r="S103" s="866"/>
      <c r="T103" s="866"/>
      <c r="U103" s="866"/>
      <c r="W103" s="866"/>
      <c r="X103" s="868"/>
      <c r="Y103" s="868"/>
      <c r="Z103" s="866"/>
      <c r="AA103" s="866"/>
      <c r="AB103" s="868"/>
      <c r="AC103" s="868"/>
      <c r="AI103" s="126" t="s">
        <v>178</v>
      </c>
      <c r="AK103" s="129">
        <f>AM100*AK101</f>
        <v>2063.9295836014853</v>
      </c>
      <c r="AL103" s="4">
        <f>AM100*AL101</f>
        <v>2556.0704163985142</v>
      </c>
      <c r="AM103" s="4">
        <f>AK103+AL103</f>
        <v>4620</v>
      </c>
    </row>
    <row r="104" spans="1:47" ht="16.5" customHeight="1" x14ac:dyDescent="0.25">
      <c r="A104" s="910"/>
      <c r="B104" s="226"/>
      <c r="C104" s="262"/>
      <c r="D104" s="262"/>
      <c r="E104" s="262"/>
      <c r="F104" s="262"/>
      <c r="G104" s="262"/>
      <c r="H104" s="415"/>
      <c r="I104" s="301"/>
      <c r="J104" s="301"/>
      <c r="K104" s="416"/>
      <c r="L104" s="866"/>
      <c r="M104" s="866"/>
      <c r="N104" s="866"/>
      <c r="O104" s="866"/>
      <c r="P104" s="866"/>
      <c r="Q104" s="866"/>
      <c r="R104" s="866"/>
      <c r="S104" s="866"/>
      <c r="T104" s="866"/>
      <c r="U104" s="866"/>
      <c r="W104" s="866"/>
      <c r="X104" s="868"/>
      <c r="Y104" s="868"/>
      <c r="Z104" s="866"/>
      <c r="AA104" s="866"/>
      <c r="AB104" s="868"/>
      <c r="AC104" s="868"/>
      <c r="AI104" s="867" t="s">
        <v>179</v>
      </c>
      <c r="AK104" s="101">
        <f>I90</f>
        <v>0.69499999999999995</v>
      </c>
      <c r="AL104" s="101">
        <f>I94</f>
        <v>0.26</v>
      </c>
      <c r="AM104" s="125">
        <f>(AK104*AK101)+(AL104*AL101)</f>
        <v>0.45433103222221777</v>
      </c>
    </row>
    <row r="105" spans="1:47" ht="16.5" customHeight="1" x14ac:dyDescent="0.25">
      <c r="A105" s="910"/>
      <c r="B105" s="226"/>
      <c r="C105" s="262"/>
      <c r="D105" s="262"/>
      <c r="E105" s="262"/>
      <c r="F105" s="262"/>
      <c r="G105" s="262"/>
      <c r="H105" s="415"/>
      <c r="I105" s="301"/>
      <c r="J105" s="301"/>
      <c r="K105" s="416"/>
      <c r="L105" s="866"/>
      <c r="M105" s="866"/>
      <c r="N105" s="866"/>
      <c r="O105" s="866"/>
      <c r="P105" s="866"/>
      <c r="Q105" s="866"/>
      <c r="R105" s="866"/>
      <c r="S105" s="866"/>
      <c r="T105" s="866"/>
      <c r="U105" s="866"/>
      <c r="W105" s="866"/>
      <c r="X105" s="868"/>
      <c r="Y105" s="868"/>
      <c r="Z105" s="866"/>
      <c r="AA105" s="866"/>
      <c r="AB105" s="868"/>
      <c r="AC105" s="868"/>
      <c r="AI105" s="126" t="s">
        <v>180</v>
      </c>
      <c r="AK105" s="4">
        <f>AK103*AK104</f>
        <v>1434.4310606030322</v>
      </c>
      <c r="AL105" s="4">
        <f>AL103*AL104</f>
        <v>664.57830826361374</v>
      </c>
      <c r="AM105" s="129">
        <f>AM103*AM104</f>
        <v>2099.0093688666461</v>
      </c>
    </row>
    <row r="106" spans="1:47" ht="16.5" customHeight="1" x14ac:dyDescent="0.25">
      <c r="A106" s="910"/>
      <c r="B106" s="226"/>
      <c r="C106" s="262"/>
      <c r="D106" s="262"/>
      <c r="E106" s="262"/>
      <c r="F106" s="262"/>
      <c r="G106" s="262"/>
      <c r="H106" s="415"/>
      <c r="I106" s="301"/>
      <c r="J106" s="301"/>
      <c r="K106" s="416"/>
      <c r="L106" s="866"/>
      <c r="M106" s="866"/>
      <c r="N106" s="866"/>
      <c r="O106" s="866"/>
      <c r="P106" s="866"/>
      <c r="Q106" s="866"/>
      <c r="R106" s="866"/>
      <c r="S106" s="866"/>
      <c r="T106" s="866"/>
      <c r="U106" s="866"/>
      <c r="W106" s="866"/>
      <c r="X106" s="868"/>
      <c r="Y106" s="868"/>
      <c r="Z106" s="866"/>
      <c r="AA106" s="866"/>
      <c r="AB106" s="868"/>
      <c r="AC106" s="868"/>
    </row>
    <row r="107" spans="1:47" ht="16.5" customHeight="1" thickBot="1" x14ac:dyDescent="0.3">
      <c r="A107" s="910"/>
      <c r="B107" s="226"/>
      <c r="C107" s="262"/>
      <c r="D107" s="262"/>
      <c r="E107" s="262"/>
      <c r="F107" s="281"/>
      <c r="G107" s="262"/>
      <c r="H107" s="415"/>
      <c r="I107" s="301"/>
      <c r="J107" s="866"/>
      <c r="K107" s="416"/>
      <c r="L107" s="866"/>
      <c r="M107" s="866"/>
      <c r="N107" s="866"/>
      <c r="O107" s="866"/>
      <c r="P107" s="866"/>
      <c r="Q107" s="866"/>
      <c r="R107" s="866"/>
      <c r="S107" s="866"/>
      <c r="T107" s="866"/>
      <c r="U107" s="866"/>
      <c r="W107" s="866"/>
      <c r="X107" s="868"/>
      <c r="Y107" s="868"/>
      <c r="Z107" s="866"/>
      <c r="AA107" s="866"/>
      <c r="AB107" s="868"/>
      <c r="AC107" s="868"/>
    </row>
    <row r="108" spans="1:47" ht="16.5" customHeight="1" x14ac:dyDescent="0.25">
      <c r="A108" s="417" t="s">
        <v>18</v>
      </c>
      <c r="B108" s="418"/>
      <c r="C108" s="419"/>
      <c r="D108" s="419"/>
      <c r="E108" s="419"/>
      <c r="F108" s="419"/>
      <c r="G108" s="419"/>
      <c r="H108" s="420"/>
      <c r="I108" s="421"/>
      <c r="J108" s="421"/>
      <c r="K108" s="422">
        <f>IF(AND(SetUp!C4="Yes",C113="Yes",I188="No"),K85+J63+K103,IF(AND(SetUp!C4="Yes",C113="No",I188="No"),K80+K103,IF(AND(SetUp!C4="Yes",C113="Yes",I188="Yes"),K85+J63+I98,IF(AND(SetUp!C4="Yes",C113="No",I188="Yes"),K80+I98,IF(AND(SetUp!C4="No", C113="No", I188="No"),K80+K103, K80+K103)))))</f>
        <v>309219.6275</v>
      </c>
      <c r="L108" s="866"/>
      <c r="M108" s="866"/>
      <c r="N108" s="866"/>
      <c r="O108" s="866"/>
      <c r="P108" s="866"/>
      <c r="Q108" s="866"/>
      <c r="R108" s="866"/>
      <c r="S108" s="866"/>
      <c r="T108" s="866"/>
      <c r="U108" s="866"/>
      <c r="W108" s="866"/>
      <c r="X108" s="868"/>
      <c r="Y108" s="868"/>
      <c r="Z108" s="866"/>
      <c r="AA108" s="866"/>
      <c r="AB108" s="868"/>
      <c r="AC108" s="868"/>
      <c r="AI108" s="126" t="s">
        <v>184</v>
      </c>
      <c r="AK108" s="4">
        <f>AK80+AK103</f>
        <v>57943.929583601486</v>
      </c>
      <c r="AL108" s="4">
        <f>AL80+AL103</f>
        <v>71760.570416398521</v>
      </c>
      <c r="AM108" s="4">
        <f>AK108+AL108</f>
        <v>129704.5</v>
      </c>
    </row>
    <row r="109" spans="1:47" ht="16.5" customHeight="1" x14ac:dyDescent="0.25">
      <c r="A109" s="617"/>
      <c r="B109" s="618"/>
      <c r="C109" s="866"/>
      <c r="D109" s="866"/>
      <c r="E109" s="866"/>
      <c r="F109" s="866"/>
      <c r="G109" s="866"/>
      <c r="H109" s="866"/>
      <c r="I109" s="619"/>
      <c r="J109" s="619"/>
      <c r="K109" s="620"/>
      <c r="L109" s="866"/>
      <c r="M109" s="866"/>
      <c r="N109" s="866"/>
      <c r="O109" s="866"/>
      <c r="P109" s="866"/>
      <c r="Q109" s="866"/>
      <c r="R109" s="866"/>
      <c r="S109" s="866"/>
      <c r="T109" s="866"/>
      <c r="U109" s="866"/>
      <c r="W109" s="866"/>
      <c r="X109" s="868"/>
      <c r="Y109" s="868"/>
      <c r="Z109" s="866"/>
      <c r="AA109" s="866"/>
      <c r="AB109" s="868"/>
      <c r="AC109" s="868"/>
      <c r="AI109" s="867" t="s">
        <v>179</v>
      </c>
      <c r="AK109" s="101">
        <f>I90</f>
        <v>0.69499999999999995</v>
      </c>
      <c r="AL109" s="101">
        <f>I94</f>
        <v>0.26</v>
      </c>
      <c r="AM109" s="154">
        <f>AM104</f>
        <v>0.45433103222221777</v>
      </c>
    </row>
    <row r="110" spans="1:47" ht="14.4" thickBot="1" x14ac:dyDescent="0.3">
      <c r="A110" s="843"/>
      <c r="B110" s="844"/>
      <c r="C110" s="845"/>
      <c r="D110" s="845"/>
      <c r="E110" s="845"/>
      <c r="F110" s="845"/>
      <c r="G110" s="845"/>
      <c r="H110" s="845"/>
      <c r="I110" s="845"/>
      <c r="J110" s="845"/>
      <c r="K110" s="845"/>
      <c r="L110" s="866"/>
      <c r="M110" s="866"/>
      <c r="N110" s="866"/>
      <c r="O110" s="866"/>
      <c r="P110" s="866"/>
      <c r="Q110" s="866"/>
      <c r="R110" s="866"/>
      <c r="S110" s="866"/>
      <c r="T110" s="866"/>
      <c r="U110" s="866"/>
      <c r="W110" s="866"/>
      <c r="X110" s="868"/>
      <c r="Y110" s="868"/>
      <c r="Z110" s="866"/>
      <c r="AA110" s="866"/>
      <c r="AB110" s="868"/>
      <c r="AC110" s="868"/>
      <c r="AI110" s="153" t="s">
        <v>182</v>
      </c>
      <c r="AJ110" s="904"/>
      <c r="AK110" s="121">
        <f>AK82+AK105</f>
        <v>40271.031060603033</v>
      </c>
      <c r="AL110" s="121">
        <f>AL82+AL105</f>
        <v>18657.748308263617</v>
      </c>
      <c r="AM110" s="121">
        <f>AK110+AL110</f>
        <v>58928.77936886665</v>
      </c>
    </row>
    <row r="111" spans="1:47" x14ac:dyDescent="0.25">
      <c r="A111" s="863" t="s">
        <v>441</v>
      </c>
      <c r="B111" s="864"/>
      <c r="C111" s="865"/>
      <c r="D111" s="865"/>
      <c r="E111" s="865"/>
      <c r="F111" s="865"/>
      <c r="G111" s="865"/>
      <c r="H111" s="865"/>
      <c r="I111" s="865"/>
      <c r="J111" s="865"/>
      <c r="K111" s="865"/>
      <c r="L111" s="866"/>
      <c r="M111" s="866"/>
      <c r="N111" s="866"/>
      <c r="O111" s="866"/>
      <c r="P111" s="866"/>
      <c r="Q111" s="866"/>
      <c r="R111" s="866"/>
      <c r="S111" s="866"/>
      <c r="T111" s="866"/>
      <c r="U111" s="866"/>
      <c r="W111" s="866"/>
      <c r="X111" s="868"/>
      <c r="Y111" s="868"/>
      <c r="Z111" s="866"/>
      <c r="AA111" s="866"/>
      <c r="AB111" s="868"/>
      <c r="AC111" s="868"/>
      <c r="AK111" s="129" t="e">
        <f>#REF!*#REF!</f>
        <v>#REF!</v>
      </c>
      <c r="AL111" s="129" t="e">
        <f>#REF!*#REF!</f>
        <v>#REF!</v>
      </c>
      <c r="AM111" s="129" t="e">
        <f>#REF!*#REF!</f>
        <v>#REF!</v>
      </c>
    </row>
    <row r="112" spans="1:47" ht="25.5" customHeight="1" thickBot="1" x14ac:dyDescent="0.4">
      <c r="A112" s="832" t="s">
        <v>371</v>
      </c>
      <c r="B112" s="453"/>
      <c r="C112" s="328"/>
      <c r="D112" s="328"/>
      <c r="E112" s="328"/>
      <c r="F112" s="328"/>
      <c r="G112" s="328"/>
      <c r="H112" s="328"/>
      <c r="I112" s="328"/>
      <c r="J112" s="328"/>
      <c r="K112" s="443"/>
      <c r="W112" s="866"/>
      <c r="X112" s="868"/>
      <c r="Y112" s="868"/>
      <c r="Z112" s="866"/>
      <c r="AA112" s="866"/>
      <c r="AB112" s="868"/>
      <c r="AC112" s="868"/>
      <c r="AI112" s="126" t="s">
        <v>183</v>
      </c>
      <c r="AK112" s="125" t="e">
        <f>AK220/AM220</f>
        <v>#DIV/0!</v>
      </c>
      <c r="AL112" s="125" t="e">
        <f>AL220/AM220</f>
        <v>#DIV/0!</v>
      </c>
      <c r="AM112" s="154" t="e">
        <f>AK112+AL112</f>
        <v>#DIV/0!</v>
      </c>
    </row>
    <row r="113" spans="1:78" ht="15" thickTop="1" thickBot="1" x14ac:dyDescent="0.3">
      <c r="A113" s="319" t="s">
        <v>372</v>
      </c>
      <c r="B113" s="319"/>
      <c r="C113" s="321" t="s">
        <v>59</v>
      </c>
      <c r="D113" s="320"/>
      <c r="E113" s="320"/>
      <c r="F113" s="320"/>
      <c r="G113" s="320"/>
      <c r="H113" s="320"/>
      <c r="I113" s="320"/>
      <c r="J113" s="320"/>
      <c r="K113" s="311" t="s">
        <v>271</v>
      </c>
      <c r="W113" s="866"/>
      <c r="X113" s="868"/>
      <c r="Y113" s="868"/>
      <c r="Z113" s="866"/>
      <c r="AA113" s="866"/>
      <c r="AB113" s="868"/>
      <c r="AC113" s="868"/>
    </row>
    <row r="114" spans="1:78" s="13" customFormat="1" ht="14.4" thickTop="1" x14ac:dyDescent="0.25">
      <c r="A114" s="319" t="s">
        <v>320</v>
      </c>
      <c r="B114" s="319"/>
      <c r="C114" s="320"/>
      <c r="D114" s="320"/>
      <c r="E114" s="320"/>
      <c r="F114" s="320"/>
      <c r="G114" s="320"/>
      <c r="H114" s="320"/>
      <c r="I114" s="320"/>
      <c r="J114" s="320"/>
      <c r="K114" s="320"/>
      <c r="W114" s="326"/>
      <c r="X114" s="510"/>
      <c r="Y114" s="510"/>
      <c r="Z114" s="326"/>
      <c r="AA114" s="326"/>
      <c r="AB114" s="510"/>
      <c r="AC114" s="510"/>
      <c r="AN114" s="326"/>
      <c r="AO114" s="326"/>
      <c r="AP114" s="326"/>
      <c r="AQ114" s="326"/>
      <c r="AR114" s="326"/>
      <c r="AS114" s="326"/>
      <c r="AT114" s="326"/>
      <c r="AU114" s="326"/>
      <c r="AV114" s="326"/>
      <c r="AW114" s="326"/>
      <c r="AX114" s="326"/>
      <c r="AY114" s="326"/>
      <c r="AZ114" s="326"/>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row>
    <row r="115" spans="1:78" s="13" customFormat="1" x14ac:dyDescent="0.25">
      <c r="A115" s="319" t="s">
        <v>321</v>
      </c>
      <c r="B115" s="319"/>
      <c r="C115" s="320"/>
      <c r="D115" s="320"/>
      <c r="E115" s="320"/>
      <c r="F115" s="320"/>
      <c r="G115" s="320"/>
      <c r="H115" s="320"/>
      <c r="I115" s="320"/>
      <c r="J115" s="320"/>
      <c r="K115" s="320"/>
      <c r="W115" s="326"/>
      <c r="X115" s="510"/>
      <c r="Y115" s="510"/>
      <c r="Z115" s="326"/>
      <c r="AA115" s="326"/>
      <c r="AB115" s="510"/>
      <c r="AC115" s="510"/>
      <c r="AN115" s="326"/>
      <c r="AO115" s="326"/>
      <c r="AP115" s="326"/>
      <c r="AQ115" s="326"/>
      <c r="AR115" s="326"/>
      <c r="AS115" s="326"/>
      <c r="AT115" s="326"/>
      <c r="AU115" s="326"/>
      <c r="AV115" s="326"/>
      <c r="AW115" s="326"/>
      <c r="AX115" s="326"/>
      <c r="AY115" s="326"/>
      <c r="AZ115" s="326"/>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row>
    <row r="116" spans="1:78" s="15" customFormat="1" ht="15" customHeight="1" thickBot="1" x14ac:dyDescent="0.3">
      <c r="A116" s="453"/>
      <c r="B116" s="453"/>
      <c r="C116" s="328"/>
      <c r="D116" s="328"/>
      <c r="E116" s="328"/>
      <c r="F116" s="328"/>
      <c r="G116" s="328"/>
      <c r="H116" s="328"/>
      <c r="I116" s="328"/>
      <c r="J116" s="328"/>
      <c r="K116" s="328"/>
      <c r="N116" s="53"/>
      <c r="W116" s="328"/>
      <c r="X116" s="512"/>
      <c r="Y116" s="512"/>
      <c r="Z116" s="328"/>
      <c r="AA116" s="328"/>
      <c r="AB116" s="512"/>
      <c r="AC116" s="512"/>
      <c r="AN116" s="328"/>
      <c r="AO116" s="328"/>
      <c r="AP116" s="328"/>
      <c r="AQ116" s="328"/>
      <c r="AR116" s="328"/>
      <c r="AS116" s="328"/>
      <c r="AT116" s="328"/>
      <c r="AU116" s="328"/>
      <c r="AV116" s="328"/>
      <c r="AW116" s="328"/>
      <c r="AX116" s="328"/>
      <c r="AY116" s="328"/>
      <c r="AZ116" s="328"/>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row>
    <row r="117" spans="1:78" s="15" customFormat="1" ht="15" customHeight="1" thickTop="1" thickBot="1" x14ac:dyDescent="0.3">
      <c r="A117" s="319" t="s">
        <v>373</v>
      </c>
      <c r="B117" s="319"/>
      <c r="C117" s="320"/>
      <c r="D117" s="320"/>
      <c r="E117" s="321" t="s">
        <v>60</v>
      </c>
      <c r="F117" s="438"/>
      <c r="G117" s="320"/>
      <c r="H117" s="320"/>
      <c r="I117" s="320"/>
      <c r="J117" s="320"/>
      <c r="K117" s="454" t="s">
        <v>272</v>
      </c>
      <c r="N117" s="53"/>
      <c r="W117" s="328"/>
      <c r="X117" s="512"/>
      <c r="Y117" s="512"/>
      <c r="Z117" s="328"/>
      <c r="AA117" s="328"/>
      <c r="AB117" s="512"/>
      <c r="AC117" s="512"/>
      <c r="AN117" s="328"/>
      <c r="AO117" s="328"/>
      <c r="AP117" s="328"/>
      <c r="AQ117" s="328"/>
      <c r="AR117" s="328"/>
      <c r="AS117" s="328"/>
      <c r="AT117" s="328"/>
      <c r="AU117" s="328"/>
      <c r="AV117" s="328"/>
      <c r="AW117" s="328"/>
      <c r="AX117" s="328"/>
      <c r="AY117" s="328"/>
      <c r="AZ117" s="328"/>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row>
    <row r="118" spans="1:78" ht="16.5" customHeight="1" thickTop="1" x14ac:dyDescent="0.25">
      <c r="A118" s="438" t="s">
        <v>322</v>
      </c>
      <c r="B118" s="438"/>
      <c r="C118" s="438"/>
      <c r="D118" s="438"/>
      <c r="E118" s="438"/>
      <c r="F118" s="438"/>
      <c r="G118" s="438"/>
      <c r="H118" s="439"/>
      <c r="I118" s="438"/>
      <c r="J118" s="438"/>
      <c r="K118" s="320"/>
      <c r="W118" s="866"/>
      <c r="X118" s="868"/>
      <c r="Y118" s="868"/>
      <c r="Z118" s="866"/>
      <c r="AA118" s="866"/>
      <c r="AB118" s="868"/>
      <c r="AC118" s="868"/>
    </row>
    <row r="119" spans="1:78" ht="16.5" customHeight="1" thickBot="1" x14ac:dyDescent="0.3">
      <c r="A119" s="438" t="s">
        <v>323</v>
      </c>
      <c r="B119" s="438"/>
      <c r="C119" s="438"/>
      <c r="D119" s="438"/>
      <c r="E119" s="438"/>
      <c r="F119" s="438"/>
      <c r="G119" s="438"/>
      <c r="H119" s="439"/>
      <c r="I119" s="438"/>
      <c r="J119" s="438"/>
      <c r="K119" s="320"/>
      <c r="W119" s="866"/>
      <c r="X119" s="868"/>
      <c r="Y119" s="868"/>
      <c r="Z119" s="866"/>
      <c r="AA119" s="866"/>
      <c r="AB119" s="868"/>
      <c r="AC119" s="868"/>
    </row>
    <row r="120" spans="1:78" ht="16.5" hidden="1" customHeight="1" x14ac:dyDescent="0.25">
      <c r="A120" s="162"/>
      <c r="B120" s="162"/>
      <c r="C120" s="162"/>
      <c r="D120" s="162"/>
      <c r="E120" s="162"/>
      <c r="F120" s="81" t="s">
        <v>194</v>
      </c>
      <c r="G120" s="162"/>
      <c r="H120" s="163"/>
      <c r="I120" s="162"/>
      <c r="J120" s="880"/>
      <c r="K120" s="71"/>
      <c r="W120" s="866"/>
      <c r="X120" s="868"/>
      <c r="Y120" s="868"/>
      <c r="Z120" s="866"/>
      <c r="AA120" s="866"/>
      <c r="AB120" s="868"/>
      <c r="AC120" s="868"/>
    </row>
    <row r="121" spans="1:78" ht="16.5" hidden="1" customHeight="1" x14ac:dyDescent="0.25">
      <c r="A121" s="162"/>
      <c r="B121" s="162"/>
      <c r="C121" s="162"/>
      <c r="D121" s="162"/>
      <c r="E121" s="162"/>
      <c r="F121" s="164"/>
      <c r="G121" s="162"/>
      <c r="H121" s="163"/>
      <c r="I121" s="162"/>
      <c r="J121" s="880"/>
      <c r="K121" s="71"/>
      <c r="W121" s="866"/>
      <c r="X121" s="868"/>
      <c r="Y121" s="868"/>
      <c r="Z121" s="866"/>
      <c r="AA121" s="866"/>
      <c r="AB121" s="868"/>
      <c r="AC121" s="868"/>
    </row>
    <row r="122" spans="1:78" ht="16.5" hidden="1" customHeight="1" x14ac:dyDescent="0.25">
      <c r="A122" s="162"/>
      <c r="B122" s="162"/>
      <c r="C122" s="162"/>
      <c r="D122" s="162"/>
      <c r="E122" s="162"/>
      <c r="F122" s="164">
        <v>75000</v>
      </c>
      <c r="G122" s="162"/>
      <c r="H122" s="163"/>
      <c r="I122" s="162"/>
      <c r="J122" s="880"/>
      <c r="K122" s="71"/>
      <c r="W122" s="866"/>
      <c r="X122" s="868"/>
      <c r="Y122" s="868"/>
      <c r="Z122" s="866"/>
      <c r="AA122" s="866"/>
      <c r="AB122" s="868"/>
      <c r="AC122" s="868"/>
    </row>
    <row r="123" spans="1:78" ht="16.5" hidden="1" customHeight="1" x14ac:dyDescent="0.25">
      <c r="A123" s="162"/>
      <c r="B123" s="162"/>
      <c r="C123" s="162"/>
      <c r="D123" s="162"/>
      <c r="E123" s="162"/>
      <c r="F123" s="164">
        <v>90000</v>
      </c>
      <c r="G123" s="162"/>
      <c r="H123" s="163"/>
      <c r="I123" s="162"/>
      <c r="J123" s="880"/>
      <c r="K123" s="71"/>
      <c r="W123" s="866"/>
      <c r="X123" s="868"/>
      <c r="Y123" s="868"/>
      <c r="Z123" s="866"/>
      <c r="AA123" s="866"/>
      <c r="AB123" s="868"/>
      <c r="AC123" s="868"/>
    </row>
    <row r="124" spans="1:78" ht="16.5" hidden="1" customHeight="1" x14ac:dyDescent="0.25">
      <c r="A124" s="162"/>
      <c r="B124" s="162"/>
      <c r="C124" s="162"/>
      <c r="D124" s="162"/>
      <c r="E124" s="162"/>
      <c r="F124" s="164">
        <v>95000</v>
      </c>
      <c r="G124" s="162"/>
      <c r="H124" s="163"/>
      <c r="I124" s="162"/>
      <c r="J124" s="880"/>
      <c r="K124" s="71"/>
      <c r="W124" s="866"/>
      <c r="X124" s="868"/>
      <c r="Y124" s="868"/>
      <c r="Z124" s="866"/>
      <c r="AA124" s="866"/>
      <c r="AB124" s="868"/>
      <c r="AC124" s="868"/>
    </row>
    <row r="125" spans="1:78" ht="16.5" hidden="1" customHeight="1" x14ac:dyDescent="0.25">
      <c r="A125" s="162"/>
      <c r="B125" s="162"/>
      <c r="C125" s="162"/>
      <c r="D125" s="162"/>
      <c r="E125" s="162"/>
      <c r="F125" s="164">
        <v>100000</v>
      </c>
      <c r="G125" s="162"/>
      <c r="H125" s="163"/>
      <c r="I125" s="162"/>
      <c r="J125" s="880"/>
      <c r="K125" s="71"/>
      <c r="W125" s="866"/>
      <c r="X125" s="868"/>
      <c r="Y125" s="868"/>
      <c r="Z125" s="866"/>
      <c r="AA125" s="866"/>
      <c r="AB125" s="868"/>
      <c r="AC125" s="868"/>
    </row>
    <row r="126" spans="1:78" ht="16.5" hidden="1" customHeight="1" thickBot="1" x14ac:dyDescent="0.3">
      <c r="A126" s="162"/>
      <c r="B126" s="162"/>
      <c r="C126" s="162"/>
      <c r="D126" s="162"/>
      <c r="E126" s="162"/>
      <c r="F126" s="164">
        <v>181500</v>
      </c>
      <c r="G126" s="162"/>
      <c r="H126" s="163"/>
      <c r="I126" s="162"/>
      <c r="J126" s="880"/>
      <c r="K126" s="71"/>
      <c r="W126" s="866"/>
      <c r="X126" s="868"/>
      <c r="Y126" s="868"/>
      <c r="Z126" s="866"/>
      <c r="AA126" s="866"/>
      <c r="AB126" s="868"/>
      <c r="AC126" s="868"/>
    </row>
    <row r="127" spans="1:78" s="15" customFormat="1" ht="15" customHeight="1" thickTop="1" thickBot="1" x14ac:dyDescent="0.3">
      <c r="A127" s="438" t="s">
        <v>324</v>
      </c>
      <c r="B127" s="438"/>
      <c r="C127" s="438"/>
      <c r="D127" s="438"/>
      <c r="E127" s="438"/>
      <c r="F127" s="455"/>
      <c r="G127" s="438"/>
      <c r="H127" s="439"/>
      <c r="I127" s="438"/>
      <c r="J127" s="438"/>
      <c r="K127" s="320"/>
      <c r="N127" s="53"/>
      <c r="W127" s="328"/>
      <c r="X127" s="512"/>
      <c r="Y127" s="512"/>
      <c r="Z127" s="328"/>
      <c r="AA127" s="328"/>
      <c r="AB127" s="512"/>
      <c r="AC127" s="512"/>
      <c r="AN127" s="328"/>
      <c r="AO127" s="328"/>
      <c r="AP127" s="328"/>
      <c r="AQ127" s="328"/>
      <c r="AR127" s="328"/>
      <c r="AS127" s="328"/>
      <c r="AT127" s="328"/>
      <c r="AU127" s="328"/>
      <c r="AV127" s="328"/>
      <c r="AW127" s="328"/>
      <c r="AX127" s="328"/>
      <c r="AY127" s="328"/>
      <c r="AZ127" s="328"/>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row>
    <row r="128" spans="1:78" s="15" customFormat="1" ht="15" customHeight="1" thickTop="1" thickBot="1" x14ac:dyDescent="0.3">
      <c r="A128" s="443"/>
      <c r="B128" s="453"/>
      <c r="C128" s="328"/>
      <c r="D128" s="328"/>
      <c r="E128" s="328"/>
      <c r="F128" s="328"/>
      <c r="G128" s="328"/>
      <c r="H128" s="328"/>
      <c r="I128" s="328"/>
      <c r="J128" s="328"/>
      <c r="K128" s="328"/>
      <c r="N128" s="53"/>
      <c r="W128" s="328"/>
      <c r="X128" s="512"/>
      <c r="Y128" s="512"/>
      <c r="Z128" s="328"/>
      <c r="AA128" s="328"/>
      <c r="AB128" s="512"/>
      <c r="AC128" s="512"/>
      <c r="AN128" s="328"/>
      <c r="AO128" s="328"/>
      <c r="AP128" s="328"/>
      <c r="AQ128" s="328"/>
      <c r="AR128" s="328"/>
      <c r="AS128" s="328"/>
      <c r="AT128" s="328"/>
      <c r="AU128" s="328"/>
      <c r="AV128" s="328"/>
      <c r="AW128" s="328"/>
      <c r="AX128" s="328"/>
      <c r="AY128" s="328"/>
      <c r="AZ128" s="328"/>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row>
    <row r="129" spans="1:78" ht="15" thickTop="1" thickBot="1" x14ac:dyDescent="0.3">
      <c r="A129" s="319" t="s">
        <v>374</v>
      </c>
      <c r="B129" s="319"/>
      <c r="C129" s="320"/>
      <c r="D129" s="320"/>
      <c r="E129" s="321" t="s">
        <v>60</v>
      </c>
      <c r="F129" s="320"/>
      <c r="G129" s="320"/>
      <c r="H129" s="320"/>
      <c r="I129" s="320"/>
      <c r="J129" s="320"/>
      <c r="K129" s="456" t="s">
        <v>104</v>
      </c>
      <c r="N129" s="5" t="s">
        <v>447</v>
      </c>
      <c r="W129" s="866"/>
      <c r="X129" s="868"/>
      <c r="Y129" s="868"/>
      <c r="Z129" s="866"/>
      <c r="AA129" s="866"/>
      <c r="AB129" s="868"/>
      <c r="AC129" s="868"/>
    </row>
    <row r="130" spans="1:78" ht="20.25" customHeight="1" thickTop="1" x14ac:dyDescent="0.25">
      <c r="A130" s="319" t="s">
        <v>322</v>
      </c>
      <c r="B130" s="319"/>
      <c r="C130" s="320"/>
      <c r="D130" s="320"/>
      <c r="E130" s="320"/>
      <c r="F130" s="320"/>
      <c r="G130" s="320"/>
      <c r="H130" s="320"/>
      <c r="I130" s="320"/>
      <c r="J130" s="320"/>
      <c r="K130" s="438"/>
      <c r="W130" s="866"/>
      <c r="X130" s="868"/>
      <c r="Y130" s="868"/>
      <c r="Z130" s="866"/>
      <c r="AA130" s="866"/>
      <c r="AB130" s="868"/>
      <c r="AC130" s="868"/>
    </row>
    <row r="131" spans="1:78" x14ac:dyDescent="0.25">
      <c r="A131" s="319" t="s">
        <v>325</v>
      </c>
      <c r="B131" s="320"/>
      <c r="C131" s="320"/>
      <c r="D131" s="320"/>
      <c r="E131" s="320"/>
      <c r="F131" s="320"/>
      <c r="G131" s="320"/>
      <c r="H131" s="320"/>
      <c r="I131" s="320"/>
      <c r="J131" s="320"/>
      <c r="K131" s="320"/>
      <c r="W131" s="866"/>
      <c r="X131" s="868"/>
      <c r="Y131" s="868"/>
      <c r="Z131" s="866"/>
      <c r="AA131" s="866"/>
      <c r="AB131" s="868"/>
      <c r="AC131" s="868"/>
    </row>
    <row r="132" spans="1:78" ht="14.4" thickBot="1" x14ac:dyDescent="0.3">
      <c r="A132" s="319" t="s">
        <v>326</v>
      </c>
      <c r="B132" s="320"/>
      <c r="C132" s="320"/>
      <c r="D132" s="320"/>
      <c r="E132" s="320"/>
      <c r="F132" s="320"/>
      <c r="G132" s="320"/>
      <c r="H132" s="320"/>
      <c r="I132" s="320"/>
      <c r="J132" s="320"/>
      <c r="K132" s="320"/>
      <c r="W132" s="866"/>
      <c r="X132" s="868"/>
      <c r="Y132" s="868"/>
      <c r="Z132" s="866"/>
      <c r="AA132" s="866"/>
      <c r="AB132" s="868"/>
      <c r="AC132" s="868"/>
    </row>
    <row r="133" spans="1:78" ht="15" thickTop="1" thickBot="1" x14ac:dyDescent="0.3">
      <c r="A133" s="319" t="s">
        <v>501</v>
      </c>
      <c r="B133" s="320"/>
      <c r="C133" s="320"/>
      <c r="D133" s="320"/>
      <c r="E133" s="320"/>
      <c r="F133" s="320"/>
      <c r="G133" s="320"/>
      <c r="H133" s="320"/>
      <c r="I133" s="320"/>
      <c r="J133" s="320"/>
      <c r="K133" s="457"/>
      <c r="W133" s="866"/>
      <c r="X133" s="868"/>
      <c r="Y133" s="868"/>
      <c r="Z133" s="866"/>
      <c r="AA133" s="866"/>
      <c r="AB133" s="868"/>
      <c r="AC133" s="868"/>
    </row>
    <row r="134" spans="1:78" ht="14.4" thickTop="1" x14ac:dyDescent="0.25">
      <c r="A134" s="319" t="s">
        <v>500</v>
      </c>
      <c r="B134" s="320"/>
      <c r="C134" s="320"/>
      <c r="D134" s="320"/>
      <c r="E134" s="320"/>
      <c r="F134" s="320"/>
      <c r="G134" s="320"/>
      <c r="H134" s="320"/>
      <c r="I134" s="320"/>
      <c r="J134" s="320"/>
      <c r="K134" s="320"/>
      <c r="W134" s="866"/>
      <c r="X134" s="868"/>
      <c r="Y134" s="868"/>
      <c r="Z134" s="866"/>
      <c r="AA134" s="866"/>
      <c r="AB134" s="868"/>
      <c r="AC134" s="868"/>
    </row>
    <row r="135" spans="1:78" s="827" customFormat="1" ht="36" customHeight="1" thickBot="1" x14ac:dyDescent="0.4">
      <c r="A135" s="831" t="s">
        <v>415</v>
      </c>
      <c r="B135" s="826"/>
      <c r="C135" s="826"/>
      <c r="D135" s="826"/>
      <c r="E135" s="826"/>
      <c r="F135" s="826"/>
      <c r="G135" s="826"/>
      <c r="H135" s="826"/>
      <c r="I135" s="826"/>
      <c r="J135" s="826"/>
      <c r="K135" s="826"/>
      <c r="W135" s="828"/>
      <c r="X135" s="829"/>
      <c r="Y135" s="829"/>
      <c r="Z135" s="828"/>
      <c r="AA135" s="828"/>
      <c r="AB135" s="829"/>
      <c r="AC135" s="829"/>
      <c r="AN135" s="828"/>
      <c r="AO135" s="828"/>
      <c r="AP135" s="828"/>
      <c r="AQ135" s="828"/>
      <c r="AR135" s="828"/>
      <c r="AS135" s="828"/>
      <c r="AT135" s="828"/>
      <c r="AU135" s="828"/>
      <c r="AV135" s="828"/>
      <c r="AW135" s="828"/>
      <c r="AX135" s="828"/>
      <c r="AY135" s="828"/>
      <c r="AZ135" s="828"/>
      <c r="BA135" s="830"/>
      <c r="BB135" s="830"/>
      <c r="BC135" s="830"/>
      <c r="BD135" s="830"/>
      <c r="BE135" s="830"/>
      <c r="BF135" s="830"/>
      <c r="BG135" s="830"/>
      <c r="BH135" s="830"/>
      <c r="BI135" s="830"/>
      <c r="BJ135" s="830"/>
      <c r="BK135" s="830"/>
      <c r="BL135" s="830"/>
      <c r="BM135" s="830"/>
      <c r="BN135" s="830"/>
      <c r="BO135" s="830"/>
      <c r="BP135" s="830"/>
      <c r="BQ135" s="830"/>
      <c r="BR135" s="830"/>
      <c r="BS135" s="830"/>
      <c r="BT135" s="830"/>
      <c r="BU135" s="830"/>
      <c r="BV135" s="830"/>
      <c r="BW135" s="830"/>
      <c r="BX135" s="830"/>
      <c r="BY135" s="830"/>
      <c r="BZ135" s="830"/>
    </row>
    <row r="136" spans="1:78" ht="15.6" thickTop="1" thickBot="1" x14ac:dyDescent="0.35">
      <c r="A136" s="319" t="s">
        <v>375</v>
      </c>
      <c r="B136" s="319"/>
      <c r="C136" s="321" t="s">
        <v>59</v>
      </c>
      <c r="D136" s="320"/>
      <c r="E136" s="320"/>
      <c r="F136" s="320"/>
      <c r="G136" s="320"/>
      <c r="H136" s="458"/>
      <c r="I136" s="320"/>
      <c r="J136" s="320"/>
      <c r="K136" s="311" t="s">
        <v>267</v>
      </c>
      <c r="W136" s="866"/>
      <c r="X136" s="868"/>
      <c r="Y136" s="868"/>
      <c r="Z136" s="866"/>
      <c r="AA136" s="866"/>
      <c r="AB136" s="868"/>
      <c r="AC136" s="868"/>
    </row>
    <row r="137" spans="1:78" ht="14.4" thickTop="1" x14ac:dyDescent="0.25">
      <c r="A137" s="319" t="s">
        <v>327</v>
      </c>
      <c r="B137" s="319"/>
      <c r="C137" s="320"/>
      <c r="D137" s="320"/>
      <c r="E137" s="320"/>
      <c r="F137" s="320"/>
      <c r="G137" s="320"/>
      <c r="H137" s="320"/>
      <c r="I137" s="320"/>
      <c r="J137" s="320"/>
      <c r="K137" s="438"/>
      <c r="W137" s="866"/>
      <c r="X137" s="868"/>
      <c r="Y137" s="868"/>
      <c r="Z137" s="866"/>
      <c r="AA137" s="866"/>
      <c r="AB137" s="868"/>
      <c r="AC137" s="868"/>
    </row>
    <row r="138" spans="1:78" x14ac:dyDescent="0.25">
      <c r="A138" s="319" t="s">
        <v>328</v>
      </c>
      <c r="B138" s="319"/>
      <c r="C138" s="320"/>
      <c r="D138" s="320"/>
      <c r="E138" s="320"/>
      <c r="F138" s="320"/>
      <c r="G138" s="320"/>
      <c r="H138" s="320"/>
      <c r="I138" s="320"/>
      <c r="J138" s="320"/>
      <c r="K138" s="438"/>
      <c r="W138" s="866"/>
      <c r="X138" s="868"/>
      <c r="Y138" s="868"/>
      <c r="Z138" s="866"/>
      <c r="AA138" s="866"/>
      <c r="AB138" s="868"/>
      <c r="AC138" s="868"/>
    </row>
    <row r="139" spans="1:78" ht="14.4" thickBot="1" x14ac:dyDescent="0.3">
      <c r="A139" s="453"/>
      <c r="B139" s="453"/>
      <c r="C139" s="328"/>
      <c r="D139" s="328"/>
      <c r="E139" s="328"/>
      <c r="F139" s="328"/>
      <c r="G139" s="328"/>
      <c r="H139" s="328"/>
      <c r="I139" s="328"/>
      <c r="J139" s="328"/>
      <c r="K139" s="443"/>
      <c r="W139" s="866"/>
      <c r="X139" s="868"/>
      <c r="Y139" s="868"/>
      <c r="Z139" s="866"/>
      <c r="AA139" s="866"/>
      <c r="AB139" s="868"/>
      <c r="AC139" s="868"/>
    </row>
    <row r="140" spans="1:78" ht="15.6" thickTop="1" thickBot="1" x14ac:dyDescent="0.35">
      <c r="A140" s="319" t="s">
        <v>385</v>
      </c>
      <c r="B140" s="319"/>
      <c r="C140" s="320"/>
      <c r="D140" s="320"/>
      <c r="E140" s="321">
        <v>1</v>
      </c>
      <c r="F140" s="458"/>
      <c r="G140" s="458"/>
      <c r="H140" s="458"/>
      <c r="I140" s="320"/>
      <c r="J140" s="320"/>
      <c r="K140" s="311" t="s">
        <v>267</v>
      </c>
      <c r="W140" s="866"/>
      <c r="X140" s="868"/>
      <c r="Y140" s="868"/>
      <c r="Z140" s="866"/>
      <c r="AA140" s="866"/>
      <c r="AB140" s="868"/>
      <c r="AC140" s="868"/>
    </row>
    <row r="141" spans="1:78" ht="14.4" hidden="1" thickTop="1" x14ac:dyDescent="0.25">
      <c r="A141" s="70"/>
      <c r="B141" s="70"/>
      <c r="C141" s="70"/>
      <c r="D141" s="70"/>
      <c r="E141" s="71"/>
      <c r="F141" s="71"/>
      <c r="G141" s="71"/>
      <c r="H141" s="71"/>
      <c r="I141" s="71"/>
      <c r="J141" s="72" t="s">
        <v>70</v>
      </c>
      <c r="K141" s="73" t="s">
        <v>62</v>
      </c>
      <c r="W141" s="866"/>
      <c r="X141" s="868"/>
      <c r="Y141" s="868"/>
      <c r="Z141" s="866"/>
      <c r="AA141" s="866"/>
      <c r="AB141" s="868"/>
      <c r="AC141" s="868"/>
    </row>
    <row r="142" spans="1:78" ht="14.4" hidden="1" thickTop="1" x14ac:dyDescent="0.25">
      <c r="A142" s="70"/>
      <c r="B142" s="70"/>
      <c r="C142" s="70"/>
      <c r="D142" s="70"/>
      <c r="E142" s="71"/>
      <c r="F142" s="71"/>
      <c r="G142" s="71"/>
      <c r="H142" s="71"/>
      <c r="I142" s="71"/>
      <c r="J142" s="881">
        <v>0</v>
      </c>
      <c r="K142" s="75">
        <f>IF($E$140=0, 0,0)</f>
        <v>0</v>
      </c>
      <c r="W142" s="866"/>
      <c r="X142" s="868"/>
      <c r="Y142" s="868"/>
      <c r="Z142" s="866"/>
      <c r="AA142" s="866"/>
      <c r="AB142" s="868"/>
      <c r="AC142" s="868"/>
    </row>
    <row r="143" spans="1:78" ht="14.4" hidden="1" thickTop="1" x14ac:dyDescent="0.25">
      <c r="A143" s="70"/>
      <c r="B143" s="70"/>
      <c r="C143" s="70"/>
      <c r="D143" s="70"/>
      <c r="E143" s="71"/>
      <c r="F143" s="71"/>
      <c r="G143" s="71"/>
      <c r="H143" s="71"/>
      <c r="I143" s="71"/>
      <c r="J143" s="881">
        <v>1</v>
      </c>
      <c r="K143" s="75">
        <f>IF($E$140=1, 25000,0)</f>
        <v>25000</v>
      </c>
      <c r="W143" s="866"/>
      <c r="X143" s="868"/>
      <c r="Y143" s="868"/>
      <c r="Z143" s="866"/>
      <c r="AA143" s="866"/>
      <c r="AB143" s="868"/>
      <c r="AC143" s="868"/>
    </row>
    <row r="144" spans="1:78" ht="14.4" hidden="1" thickTop="1" x14ac:dyDescent="0.25">
      <c r="A144" s="70"/>
      <c r="B144" s="70"/>
      <c r="C144" s="70"/>
      <c r="D144" s="70"/>
      <c r="E144" s="71"/>
      <c r="F144" s="71"/>
      <c r="G144" s="71"/>
      <c r="H144" s="71"/>
      <c r="I144" s="71"/>
      <c r="J144" s="881">
        <v>2</v>
      </c>
      <c r="K144" s="75">
        <f>IF($E$140=2, 50000,0)</f>
        <v>0</v>
      </c>
      <c r="W144" s="866"/>
      <c r="X144" s="868"/>
      <c r="Y144" s="868"/>
      <c r="Z144" s="866"/>
      <c r="AA144" s="866"/>
      <c r="AB144" s="868"/>
      <c r="AC144" s="868"/>
    </row>
    <row r="145" spans="1:29" ht="14.4" hidden="1" thickTop="1" x14ac:dyDescent="0.25">
      <c r="A145" s="70"/>
      <c r="B145" s="70"/>
      <c r="C145" s="70"/>
      <c r="D145" s="70"/>
      <c r="E145" s="71"/>
      <c r="F145" s="71"/>
      <c r="G145" s="71"/>
      <c r="H145" s="71"/>
      <c r="I145" s="71"/>
      <c r="J145" s="881">
        <v>3</v>
      </c>
      <c r="K145" s="75">
        <f>IF($E$140=3, 75000,0)</f>
        <v>0</v>
      </c>
      <c r="W145" s="866"/>
      <c r="X145" s="868"/>
      <c r="Y145" s="868"/>
      <c r="Z145" s="866"/>
      <c r="AA145" s="866"/>
      <c r="AB145" s="868"/>
      <c r="AC145" s="868"/>
    </row>
    <row r="146" spans="1:29" ht="13.5" hidden="1" customHeight="1" x14ac:dyDescent="0.25">
      <c r="A146" s="70"/>
      <c r="B146" s="70"/>
      <c r="C146" s="70"/>
      <c r="D146" s="70"/>
      <c r="E146" s="71"/>
      <c r="F146" s="71"/>
      <c r="G146" s="71"/>
      <c r="H146" s="71"/>
      <c r="I146" s="71"/>
      <c r="J146" s="881">
        <v>4</v>
      </c>
      <c r="K146" s="75">
        <f>IF($E$140=4, 100000,0)</f>
        <v>0</v>
      </c>
      <c r="W146" s="866"/>
      <c r="X146" s="868"/>
      <c r="Y146" s="868"/>
      <c r="Z146" s="866"/>
      <c r="AA146" s="866"/>
      <c r="AB146" s="868"/>
      <c r="AC146" s="868"/>
    </row>
    <row r="147" spans="1:29" ht="13.5" hidden="1" customHeight="1" x14ac:dyDescent="0.25">
      <c r="A147" s="70"/>
      <c r="B147" s="70"/>
      <c r="C147" s="70"/>
      <c r="D147" s="70"/>
      <c r="E147" s="71"/>
      <c r="F147" s="71"/>
      <c r="G147" s="71"/>
      <c r="H147" s="71"/>
      <c r="I147" s="71"/>
      <c r="J147" s="881">
        <v>5</v>
      </c>
      <c r="K147" s="75">
        <f>IF($E$140=5, 125000,0)</f>
        <v>0</v>
      </c>
      <c r="W147" s="866"/>
      <c r="X147" s="868"/>
      <c r="Y147" s="868"/>
      <c r="Z147" s="866"/>
      <c r="AA147" s="866"/>
      <c r="AB147" s="868"/>
      <c r="AC147" s="868"/>
    </row>
    <row r="148" spans="1:29" ht="14.4" hidden="1" thickTop="1" x14ac:dyDescent="0.25">
      <c r="A148" s="70"/>
      <c r="B148" s="70"/>
      <c r="C148" s="70"/>
      <c r="D148" s="70"/>
      <c r="E148" s="71"/>
      <c r="F148" s="71"/>
      <c r="G148" s="71"/>
      <c r="H148" s="71"/>
      <c r="I148" s="71"/>
      <c r="J148" s="881">
        <v>6</v>
      </c>
      <c r="K148" s="75">
        <f>IF($E$140=6, 150000,0)</f>
        <v>0</v>
      </c>
      <c r="W148" s="866"/>
      <c r="X148" s="868"/>
      <c r="Y148" s="868"/>
      <c r="Z148" s="866"/>
      <c r="AA148" s="866"/>
      <c r="AB148" s="868"/>
      <c r="AC148" s="868"/>
    </row>
    <row r="149" spans="1:29" ht="14.4" hidden="1" thickTop="1" x14ac:dyDescent="0.25">
      <c r="A149" s="70"/>
      <c r="B149" s="70"/>
      <c r="C149" s="70"/>
      <c r="D149" s="70"/>
      <c r="E149" s="71"/>
      <c r="F149" s="71"/>
      <c r="G149" s="71"/>
      <c r="H149" s="71"/>
      <c r="I149" s="71"/>
      <c r="J149" s="881">
        <v>7</v>
      </c>
      <c r="K149" s="75">
        <f>IF($E$140=7, 175000,0)</f>
        <v>0</v>
      </c>
      <c r="W149" s="866"/>
      <c r="X149" s="868"/>
      <c r="Y149" s="868"/>
      <c r="Z149" s="866"/>
      <c r="AA149" s="866"/>
      <c r="AB149" s="868"/>
      <c r="AC149" s="868"/>
    </row>
    <row r="150" spans="1:29" ht="14.4" hidden="1" thickTop="1" x14ac:dyDescent="0.25">
      <c r="A150" s="70"/>
      <c r="B150" s="70"/>
      <c r="C150" s="70"/>
      <c r="D150" s="70"/>
      <c r="E150" s="71"/>
      <c r="F150" s="71"/>
      <c r="G150" s="71"/>
      <c r="H150" s="71"/>
      <c r="I150" s="71"/>
      <c r="J150" s="881">
        <v>8</v>
      </c>
      <c r="K150" s="75">
        <f>IF($E$140=8, 200000,0)</f>
        <v>0</v>
      </c>
      <c r="W150" s="866"/>
      <c r="X150" s="868"/>
      <c r="Y150" s="868"/>
      <c r="Z150" s="866"/>
      <c r="AA150" s="866"/>
      <c r="AB150" s="868"/>
      <c r="AC150" s="868"/>
    </row>
    <row r="151" spans="1:29" ht="14.4" hidden="1" thickTop="1" x14ac:dyDescent="0.25">
      <c r="A151" s="70"/>
      <c r="B151" s="70"/>
      <c r="C151" s="70"/>
      <c r="D151" s="70"/>
      <c r="E151" s="71"/>
      <c r="F151" s="71"/>
      <c r="G151" s="71"/>
      <c r="H151" s="71"/>
      <c r="I151" s="71"/>
      <c r="J151" s="881">
        <v>9</v>
      </c>
      <c r="K151" s="75">
        <f>IF($E$140=9, 225000,0)</f>
        <v>0</v>
      </c>
      <c r="W151" s="866"/>
      <c r="X151" s="868"/>
      <c r="Y151" s="868"/>
      <c r="Z151" s="866"/>
      <c r="AA151" s="866"/>
      <c r="AB151" s="868"/>
      <c r="AC151" s="868"/>
    </row>
    <row r="152" spans="1:29" ht="14.4" hidden="1" thickTop="1" x14ac:dyDescent="0.25">
      <c r="A152" s="70"/>
      <c r="B152" s="70"/>
      <c r="C152" s="70"/>
      <c r="D152" s="70"/>
      <c r="E152" s="71"/>
      <c r="F152" s="71"/>
      <c r="G152" s="71"/>
      <c r="H152" s="71"/>
      <c r="I152" s="71"/>
      <c r="J152" s="881">
        <v>10</v>
      </c>
      <c r="K152" s="75">
        <f>IF($E$140=10, 250000,0)</f>
        <v>0</v>
      </c>
      <c r="W152" s="866"/>
      <c r="X152" s="868"/>
      <c r="Y152" s="868"/>
      <c r="Z152" s="866"/>
      <c r="AA152" s="866"/>
      <c r="AB152" s="868"/>
      <c r="AC152" s="868"/>
    </row>
    <row r="153" spans="1:29" ht="14.4" hidden="1" thickTop="1" x14ac:dyDescent="0.25">
      <c r="A153" s="70"/>
      <c r="B153" s="70"/>
      <c r="C153" s="70"/>
      <c r="D153" s="70"/>
      <c r="E153" s="71"/>
      <c r="F153" s="71"/>
      <c r="G153" s="71"/>
      <c r="H153" s="71"/>
      <c r="I153" s="71"/>
      <c r="J153" s="881">
        <v>11</v>
      </c>
      <c r="K153" s="75">
        <f>IF($E$140=11, 275000,0)</f>
        <v>0</v>
      </c>
      <c r="W153" s="866"/>
      <c r="X153" s="868"/>
      <c r="Y153" s="868"/>
      <c r="Z153" s="866"/>
      <c r="AA153" s="866"/>
      <c r="AB153" s="868"/>
      <c r="AC153" s="868"/>
    </row>
    <row r="154" spans="1:29" ht="14.4" hidden="1" thickTop="1" x14ac:dyDescent="0.25">
      <c r="A154" s="70"/>
      <c r="B154" s="70"/>
      <c r="C154" s="70"/>
      <c r="D154" s="70"/>
      <c r="E154" s="71"/>
      <c r="F154" s="71"/>
      <c r="G154" s="71"/>
      <c r="H154" s="71"/>
      <c r="I154" s="71"/>
      <c r="J154" s="881">
        <v>12</v>
      </c>
      <c r="K154" s="75">
        <f>IF($E$140=12, 300000,0)</f>
        <v>0</v>
      </c>
      <c r="W154" s="866"/>
      <c r="X154" s="868"/>
      <c r="Y154" s="868"/>
      <c r="Z154" s="866"/>
      <c r="AA154" s="866"/>
      <c r="AB154" s="868"/>
      <c r="AC154" s="868"/>
    </row>
    <row r="155" spans="1:29" ht="14.4" hidden="1" thickTop="1" x14ac:dyDescent="0.25">
      <c r="A155" s="70"/>
      <c r="B155" s="70"/>
      <c r="C155" s="70"/>
      <c r="D155" s="70"/>
      <c r="E155" s="71"/>
      <c r="F155" s="71"/>
      <c r="G155" s="71"/>
      <c r="H155" s="71"/>
      <c r="I155" s="71"/>
      <c r="J155" s="881">
        <v>13</v>
      </c>
      <c r="K155" s="75">
        <f>IF($E$140=13, 325000,0)</f>
        <v>0</v>
      </c>
      <c r="W155" s="866"/>
      <c r="X155" s="868"/>
      <c r="Y155" s="868"/>
      <c r="Z155" s="866"/>
      <c r="AA155" s="866"/>
      <c r="AB155" s="868"/>
      <c r="AC155" s="868"/>
    </row>
    <row r="156" spans="1:29" ht="14.4" hidden="1" thickTop="1" x14ac:dyDescent="0.25">
      <c r="A156" s="70"/>
      <c r="B156" s="70"/>
      <c r="C156" s="70"/>
      <c r="D156" s="70"/>
      <c r="E156" s="71"/>
      <c r="F156" s="71"/>
      <c r="G156" s="71"/>
      <c r="H156" s="71"/>
      <c r="I156" s="71"/>
      <c r="J156" s="881">
        <v>14</v>
      </c>
      <c r="K156" s="75">
        <f>IF($E$140=14, 350000,0)</f>
        <v>0</v>
      </c>
      <c r="W156" s="866"/>
      <c r="X156" s="868"/>
      <c r="Y156" s="868"/>
      <c r="Z156" s="866"/>
      <c r="AA156" s="866"/>
      <c r="AB156" s="868"/>
      <c r="AC156" s="868"/>
    </row>
    <row r="157" spans="1:29" ht="14.4" hidden="1" thickTop="1" x14ac:dyDescent="0.25">
      <c r="A157" s="70"/>
      <c r="B157" s="70"/>
      <c r="C157" s="70"/>
      <c r="D157" s="70"/>
      <c r="E157" s="71"/>
      <c r="F157" s="71"/>
      <c r="G157" s="71"/>
      <c r="H157" s="71"/>
      <c r="I157" s="71"/>
      <c r="J157" s="881">
        <v>15</v>
      </c>
      <c r="K157" s="75">
        <f>IF($E$140=15, 375000,0)</f>
        <v>0</v>
      </c>
      <c r="W157" s="866"/>
      <c r="X157" s="868"/>
      <c r="Y157" s="868"/>
      <c r="Z157" s="866"/>
      <c r="AA157" s="866"/>
      <c r="AB157" s="868"/>
      <c r="AC157" s="868"/>
    </row>
    <row r="158" spans="1:29" ht="14.4" hidden="1" thickTop="1" x14ac:dyDescent="0.25">
      <c r="A158" s="70"/>
      <c r="B158" s="70"/>
      <c r="C158" s="70"/>
      <c r="D158" s="70"/>
      <c r="E158" s="71"/>
      <c r="F158" s="71"/>
      <c r="G158" s="71"/>
      <c r="H158" s="71"/>
      <c r="I158" s="71"/>
      <c r="J158" s="881">
        <v>16</v>
      </c>
      <c r="K158" s="75">
        <f>IF($E$140=16, 400000,0)</f>
        <v>0</v>
      </c>
      <c r="W158" s="866"/>
      <c r="X158" s="868"/>
      <c r="Y158" s="868"/>
      <c r="Z158" s="866"/>
      <c r="AA158" s="866"/>
      <c r="AB158" s="868"/>
      <c r="AC158" s="868"/>
    </row>
    <row r="159" spans="1:29" ht="14.4" hidden="1" thickTop="1" x14ac:dyDescent="0.25">
      <c r="A159" s="70"/>
      <c r="B159" s="70"/>
      <c r="C159" s="70"/>
      <c r="D159" s="70"/>
      <c r="E159" s="71"/>
      <c r="F159" s="71"/>
      <c r="G159" s="71"/>
      <c r="H159" s="71"/>
      <c r="I159" s="71"/>
      <c r="J159" s="71">
        <v>17</v>
      </c>
      <c r="K159" s="75">
        <f>IF($E$140=17, 425000,0)</f>
        <v>0</v>
      </c>
      <c r="W159" s="866"/>
      <c r="X159" s="868"/>
      <c r="Y159" s="868"/>
      <c r="Z159" s="866"/>
      <c r="AA159" s="866"/>
      <c r="AB159" s="868"/>
      <c r="AC159" s="868"/>
    </row>
    <row r="160" spans="1:29" ht="14.4" hidden="1" thickTop="1" x14ac:dyDescent="0.25">
      <c r="A160" s="70"/>
      <c r="B160" s="70"/>
      <c r="C160" s="70"/>
      <c r="D160" s="70"/>
      <c r="E160" s="71"/>
      <c r="F160" s="71"/>
      <c r="G160" s="71"/>
      <c r="H160" s="71"/>
      <c r="I160" s="71"/>
      <c r="J160" s="71">
        <v>18</v>
      </c>
      <c r="K160" s="75">
        <f>IF($E$140=18, 450000,0)</f>
        <v>0</v>
      </c>
      <c r="W160" s="866"/>
      <c r="X160" s="868"/>
      <c r="Y160" s="868"/>
      <c r="Z160" s="866"/>
      <c r="AA160" s="866"/>
      <c r="AB160" s="868"/>
      <c r="AC160" s="868"/>
    </row>
    <row r="161" spans="1:29" ht="14.4" hidden="1" thickTop="1" x14ac:dyDescent="0.25">
      <c r="A161" s="70"/>
      <c r="B161" s="70"/>
      <c r="C161" s="70"/>
      <c r="D161" s="70"/>
      <c r="E161" s="71"/>
      <c r="F161" s="71"/>
      <c r="G161" s="71"/>
      <c r="H161" s="71"/>
      <c r="I161" s="71"/>
      <c r="J161" s="71">
        <v>19</v>
      </c>
      <c r="K161" s="75">
        <f>IF($E$140=19, 475000,0)</f>
        <v>0</v>
      </c>
      <c r="W161" s="866"/>
      <c r="X161" s="868"/>
      <c r="Y161" s="868"/>
      <c r="Z161" s="866"/>
      <c r="AA161" s="866"/>
      <c r="AB161" s="868"/>
      <c r="AC161" s="868"/>
    </row>
    <row r="162" spans="1:29" ht="14.4" hidden="1" thickTop="1" x14ac:dyDescent="0.25">
      <c r="A162" s="70"/>
      <c r="B162" s="70"/>
      <c r="C162" s="70"/>
      <c r="D162" s="70"/>
      <c r="E162" s="71"/>
      <c r="F162" s="71"/>
      <c r="G162" s="71"/>
      <c r="H162" s="71"/>
      <c r="I162" s="71"/>
      <c r="J162" s="71">
        <v>20</v>
      </c>
      <c r="K162" s="75">
        <f>IF($E$140=20, 500000,0)</f>
        <v>0</v>
      </c>
      <c r="W162" s="866"/>
      <c r="X162" s="868"/>
      <c r="Y162" s="868"/>
      <c r="Z162" s="866"/>
      <c r="AA162" s="866"/>
      <c r="AB162" s="868"/>
      <c r="AC162" s="868"/>
    </row>
    <row r="163" spans="1:29" ht="14.4" hidden="1" thickTop="1" x14ac:dyDescent="0.25">
      <c r="A163" s="70"/>
      <c r="B163" s="70"/>
      <c r="C163" s="70"/>
      <c r="D163" s="70"/>
      <c r="E163" s="71"/>
      <c r="F163" s="71"/>
      <c r="G163" s="71"/>
      <c r="H163" s="71"/>
      <c r="I163" s="71"/>
      <c r="J163" s="71">
        <v>21</v>
      </c>
      <c r="K163" s="75">
        <f>IF($E$140=21, 525000,0)</f>
        <v>0</v>
      </c>
      <c r="W163" s="866"/>
      <c r="X163" s="868"/>
      <c r="Y163" s="868"/>
      <c r="Z163" s="866"/>
      <c r="AA163" s="866"/>
      <c r="AB163" s="868"/>
      <c r="AC163" s="868"/>
    </row>
    <row r="164" spans="1:29" ht="14.4" hidden="1" thickTop="1" x14ac:dyDescent="0.25">
      <c r="A164" s="70"/>
      <c r="B164" s="70"/>
      <c r="C164" s="70"/>
      <c r="D164" s="70"/>
      <c r="E164" s="71"/>
      <c r="F164" s="71"/>
      <c r="G164" s="71"/>
      <c r="H164" s="71"/>
      <c r="I164" s="71"/>
      <c r="J164" s="71">
        <v>22</v>
      </c>
      <c r="K164" s="75">
        <f>IF($E$140=22, 555000,0)</f>
        <v>0</v>
      </c>
      <c r="W164" s="866"/>
      <c r="X164" s="868"/>
      <c r="Y164" s="868"/>
      <c r="Z164" s="866"/>
      <c r="AA164" s="866"/>
      <c r="AB164" s="868"/>
      <c r="AC164" s="868"/>
    </row>
    <row r="165" spans="1:29" ht="14.4" hidden="1" thickTop="1" x14ac:dyDescent="0.25">
      <c r="A165" s="70"/>
      <c r="B165" s="70"/>
      <c r="C165" s="70"/>
      <c r="D165" s="70"/>
      <c r="E165" s="71"/>
      <c r="F165" s="71"/>
      <c r="G165" s="71"/>
      <c r="H165" s="71"/>
      <c r="I165" s="71"/>
      <c r="J165" s="71">
        <v>23</v>
      </c>
      <c r="K165" s="75">
        <f>IF($E$140=23, 575000,0)</f>
        <v>0</v>
      </c>
      <c r="W165" s="866"/>
      <c r="X165" s="868"/>
      <c r="Y165" s="868"/>
      <c r="Z165" s="866"/>
      <c r="AA165" s="866"/>
      <c r="AB165" s="868"/>
      <c r="AC165" s="868"/>
    </row>
    <row r="166" spans="1:29" ht="14.4" hidden="1" thickTop="1" x14ac:dyDescent="0.25">
      <c r="A166" s="70"/>
      <c r="B166" s="70"/>
      <c r="C166" s="70"/>
      <c r="D166" s="70"/>
      <c r="E166" s="71"/>
      <c r="F166" s="71"/>
      <c r="G166" s="71"/>
      <c r="H166" s="71"/>
      <c r="I166" s="71"/>
      <c r="J166" s="71">
        <v>24</v>
      </c>
      <c r="K166" s="75">
        <f>IF($E$140=24, 600000,0)</f>
        <v>0</v>
      </c>
      <c r="W166" s="866"/>
      <c r="X166" s="868"/>
      <c r="Y166" s="868"/>
      <c r="Z166" s="866"/>
      <c r="AA166" s="866"/>
      <c r="AB166" s="868"/>
      <c r="AC166" s="868"/>
    </row>
    <row r="167" spans="1:29" ht="14.4" hidden="1" thickTop="1" x14ac:dyDescent="0.25">
      <c r="A167" s="70"/>
      <c r="B167" s="70"/>
      <c r="C167" s="70"/>
      <c r="D167" s="70"/>
      <c r="E167" s="71"/>
      <c r="F167" s="71"/>
      <c r="G167" s="71"/>
      <c r="H167" s="71"/>
      <c r="I167" s="71"/>
      <c r="J167" s="71">
        <v>25</v>
      </c>
      <c r="K167" s="75">
        <f>IF($E$140=25, 625000,0)</f>
        <v>0</v>
      </c>
      <c r="W167" s="866"/>
      <c r="X167" s="868"/>
      <c r="Y167" s="868"/>
      <c r="Z167" s="866"/>
      <c r="AA167" s="866"/>
      <c r="AB167" s="868"/>
      <c r="AC167" s="868"/>
    </row>
    <row r="168" spans="1:29" ht="14.4" hidden="1" thickTop="1" x14ac:dyDescent="0.25">
      <c r="A168" s="70"/>
      <c r="B168" s="70"/>
      <c r="C168" s="70"/>
      <c r="D168" s="70"/>
      <c r="E168" s="71"/>
      <c r="F168" s="71"/>
      <c r="G168" s="71"/>
      <c r="H168" s="71"/>
      <c r="I168" s="71"/>
      <c r="J168" s="71"/>
      <c r="K168" s="75"/>
      <c r="W168" s="866"/>
      <c r="X168" s="868"/>
      <c r="Y168" s="868"/>
      <c r="Z168" s="866"/>
      <c r="AA168" s="866"/>
      <c r="AB168" s="868"/>
      <c r="AC168" s="868"/>
    </row>
    <row r="169" spans="1:29" ht="15" thickTop="1" thickBot="1" x14ac:dyDescent="0.3">
      <c r="A169" s="453"/>
      <c r="B169" s="453"/>
      <c r="C169" s="328"/>
      <c r="D169" s="328"/>
      <c r="E169" s="328"/>
      <c r="F169" s="328"/>
      <c r="G169" s="328"/>
      <c r="H169" s="328"/>
      <c r="I169" s="328"/>
      <c r="J169" s="328"/>
      <c r="K169" s="443"/>
      <c r="W169" s="866"/>
      <c r="X169" s="868"/>
      <c r="Y169" s="868"/>
      <c r="Z169" s="866"/>
      <c r="AA169" s="866"/>
      <c r="AB169" s="868"/>
      <c r="AC169" s="868"/>
    </row>
    <row r="170" spans="1:29" ht="15.6" thickTop="1" thickBot="1" x14ac:dyDescent="0.35">
      <c r="A170" s="319" t="s">
        <v>376</v>
      </c>
      <c r="B170" s="319"/>
      <c r="C170" s="321" t="s">
        <v>60</v>
      </c>
      <c r="D170" s="320"/>
      <c r="E170" s="320"/>
      <c r="F170" s="320"/>
      <c r="G170" s="320"/>
      <c r="H170" s="458"/>
      <c r="I170" s="320"/>
      <c r="J170" s="320"/>
      <c r="K170" s="311" t="s">
        <v>103</v>
      </c>
      <c r="W170" s="866"/>
      <c r="X170" s="868"/>
      <c r="Y170" s="868"/>
      <c r="Z170" s="866"/>
      <c r="AA170" s="866"/>
      <c r="AB170" s="868"/>
      <c r="AC170" s="868"/>
    </row>
    <row r="171" spans="1:29" ht="14.4" thickTop="1" x14ac:dyDescent="0.25">
      <c r="A171" s="319" t="s">
        <v>329</v>
      </c>
      <c r="B171" s="319"/>
      <c r="C171" s="320"/>
      <c r="D171" s="320"/>
      <c r="E171" s="320"/>
      <c r="F171" s="320"/>
      <c r="G171" s="320"/>
      <c r="H171" s="320"/>
      <c r="I171" s="320"/>
      <c r="J171" s="320"/>
      <c r="K171" s="438"/>
      <c r="W171" s="866"/>
      <c r="X171" s="868"/>
      <c r="Y171" s="868"/>
      <c r="Z171" s="866"/>
      <c r="AA171" s="866"/>
      <c r="AB171" s="868"/>
      <c r="AC171" s="868"/>
    </row>
    <row r="172" spans="1:29" x14ac:dyDescent="0.25">
      <c r="A172" s="319" t="s">
        <v>330</v>
      </c>
      <c r="B172" s="319"/>
      <c r="C172" s="320"/>
      <c r="D172" s="320"/>
      <c r="E172" s="320"/>
      <c r="F172" s="320"/>
      <c r="G172" s="320"/>
      <c r="H172" s="320"/>
      <c r="I172" s="320"/>
      <c r="J172" s="320"/>
      <c r="K172" s="438"/>
      <c r="W172" s="866"/>
      <c r="X172" s="868"/>
      <c r="Y172" s="868"/>
      <c r="Z172" s="866"/>
      <c r="AA172" s="866"/>
      <c r="AB172" s="868"/>
      <c r="AC172" s="868"/>
    </row>
    <row r="173" spans="1:29" ht="23.25" customHeight="1" thickBot="1" x14ac:dyDescent="0.3">
      <c r="A173" s="319" t="s">
        <v>322</v>
      </c>
      <c r="B173" s="319"/>
      <c r="C173" s="320"/>
      <c r="D173" s="320"/>
      <c r="E173" s="320"/>
      <c r="F173" s="320"/>
      <c r="G173" s="320"/>
      <c r="H173" s="320"/>
      <c r="I173" s="320"/>
      <c r="J173" s="320"/>
      <c r="K173" s="320"/>
      <c r="W173" s="866"/>
      <c r="X173" s="868"/>
      <c r="Y173" s="868"/>
      <c r="Z173" s="866"/>
      <c r="AA173" s="866"/>
      <c r="AB173" s="868"/>
      <c r="AC173" s="868"/>
    </row>
    <row r="174" spans="1:29" ht="15" thickTop="1" thickBot="1" x14ac:dyDescent="0.3">
      <c r="A174" s="319" t="s">
        <v>331</v>
      </c>
      <c r="B174" s="320"/>
      <c r="C174" s="320"/>
      <c r="D174" s="320"/>
      <c r="E174" s="320"/>
      <c r="F174" s="320"/>
      <c r="G174" s="320"/>
      <c r="H174" s="320"/>
      <c r="I174" s="459"/>
      <c r="J174" s="320"/>
      <c r="K174" s="460"/>
      <c r="W174" s="866"/>
      <c r="X174" s="868"/>
      <c r="Y174" s="868"/>
      <c r="Z174" s="866"/>
      <c r="AA174" s="866"/>
      <c r="AB174" s="868"/>
      <c r="AC174" s="868"/>
    </row>
    <row r="175" spans="1:29" ht="15.6" thickTop="1" thickBot="1" x14ac:dyDescent="0.35">
      <c r="A175" s="458" t="s">
        <v>332</v>
      </c>
      <c r="B175" s="319"/>
      <c r="C175" s="320"/>
      <c r="D175" s="320"/>
      <c r="E175" s="319"/>
      <c r="F175" s="319"/>
      <c r="G175" s="319"/>
      <c r="H175" s="320"/>
      <c r="I175" s="459"/>
      <c r="J175" s="320"/>
      <c r="K175" s="460"/>
      <c r="W175" s="866"/>
      <c r="X175" s="868"/>
      <c r="Y175" s="868"/>
      <c r="Z175" s="866"/>
      <c r="AA175" s="866"/>
      <c r="AB175" s="868"/>
      <c r="AC175" s="868"/>
    </row>
    <row r="176" spans="1:29" ht="14.4" hidden="1" thickTop="1" x14ac:dyDescent="0.25">
      <c r="A176" s="70"/>
      <c r="B176" s="70"/>
      <c r="C176" s="70"/>
      <c r="D176" s="70"/>
      <c r="E176" s="70"/>
      <c r="F176" s="70"/>
      <c r="G176" s="70"/>
      <c r="H176" s="70"/>
      <c r="I176" s="70"/>
      <c r="J176" s="70"/>
      <c r="K176" s="88"/>
      <c r="W176" s="866"/>
      <c r="X176" s="868"/>
      <c r="Y176" s="868"/>
      <c r="Z176" s="866"/>
      <c r="AA176" s="866"/>
      <c r="AB176" s="868"/>
      <c r="AC176" s="868"/>
    </row>
    <row r="177" spans="1:78" ht="14.4" hidden="1" thickTop="1" x14ac:dyDescent="0.25">
      <c r="A177" s="70"/>
      <c r="B177" s="70"/>
      <c r="C177" s="70"/>
      <c r="D177" s="70"/>
      <c r="E177" s="71"/>
      <c r="F177" s="71"/>
      <c r="G177" s="71"/>
      <c r="H177" s="71"/>
      <c r="I177" s="71"/>
      <c r="J177" s="89" t="s">
        <v>71</v>
      </c>
      <c r="K177" s="88">
        <f>SUM(K142:K167)+SUM(K174:K175)</f>
        <v>25000</v>
      </c>
      <c r="W177" s="866"/>
      <c r="X177" s="868"/>
      <c r="Y177" s="868"/>
      <c r="Z177" s="866"/>
      <c r="AA177" s="866"/>
      <c r="AB177" s="868"/>
      <c r="AC177" s="868"/>
    </row>
    <row r="178" spans="1:78" s="13" customFormat="1" ht="15" thickTop="1" thickBot="1" x14ac:dyDescent="0.3">
      <c r="A178" s="453"/>
      <c r="B178" s="453"/>
      <c r="C178" s="328"/>
      <c r="D178" s="328"/>
      <c r="E178" s="328"/>
      <c r="F178" s="328"/>
      <c r="G178" s="328"/>
      <c r="H178" s="328"/>
      <c r="I178" s="328"/>
      <c r="J178" s="328"/>
      <c r="K178" s="443"/>
      <c r="W178" s="326"/>
      <c r="X178" s="510"/>
      <c r="Y178" s="510"/>
      <c r="Z178" s="326"/>
      <c r="AA178" s="326"/>
      <c r="AB178" s="510"/>
      <c r="AC178" s="510"/>
      <c r="AN178" s="326"/>
      <c r="AO178" s="326"/>
      <c r="AP178" s="326"/>
      <c r="AQ178" s="326"/>
      <c r="AR178" s="326"/>
      <c r="AS178" s="326"/>
      <c r="AT178" s="326"/>
      <c r="AU178" s="326"/>
      <c r="AV178" s="326"/>
      <c r="AW178" s="326"/>
      <c r="AX178" s="326"/>
      <c r="AY178" s="326"/>
      <c r="AZ178" s="326"/>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row>
    <row r="179" spans="1:78" ht="15" thickTop="1" thickBot="1" x14ac:dyDescent="0.3">
      <c r="A179" s="319" t="s">
        <v>377</v>
      </c>
      <c r="B179" s="319"/>
      <c r="C179" s="320"/>
      <c r="D179" s="320"/>
      <c r="E179" s="320"/>
      <c r="F179" s="320"/>
      <c r="G179" s="320"/>
      <c r="H179" s="321" t="s">
        <v>59</v>
      </c>
      <c r="I179" s="320"/>
      <c r="J179" s="320"/>
      <c r="K179" s="311" t="s">
        <v>273</v>
      </c>
      <c r="N179" s="5"/>
      <c r="W179" s="866"/>
      <c r="X179" s="868"/>
      <c r="Y179" s="868"/>
      <c r="Z179" s="866"/>
      <c r="AA179" s="866"/>
      <c r="AB179" s="868"/>
      <c r="AC179" s="868"/>
    </row>
    <row r="180" spans="1:78" ht="27.75" customHeight="1" thickTop="1" x14ac:dyDescent="0.25">
      <c r="A180" s="319" t="s">
        <v>336</v>
      </c>
      <c r="B180" s="319"/>
      <c r="C180" s="320"/>
      <c r="D180" s="320"/>
      <c r="E180" s="320"/>
      <c r="F180" s="320"/>
      <c r="G180" s="320"/>
      <c r="H180" s="320"/>
      <c r="I180" s="320"/>
      <c r="J180" s="320"/>
      <c r="K180" s="438"/>
      <c r="N180" s="5"/>
      <c r="W180" s="866"/>
      <c r="X180" s="868"/>
      <c r="Y180" s="868"/>
      <c r="Z180" s="866"/>
      <c r="AA180" s="866"/>
      <c r="AB180" s="868"/>
      <c r="AC180" s="868"/>
    </row>
    <row r="181" spans="1:78" x14ac:dyDescent="0.25">
      <c r="A181" s="461" t="s">
        <v>333</v>
      </c>
      <c r="B181" s="319"/>
      <c r="C181" s="320"/>
      <c r="D181" s="320"/>
      <c r="E181" s="320"/>
      <c r="F181" s="320"/>
      <c r="G181" s="320"/>
      <c r="H181" s="320"/>
      <c r="I181" s="320"/>
      <c r="J181" s="320"/>
      <c r="K181" s="320"/>
      <c r="W181" s="866"/>
      <c r="X181" s="868"/>
      <c r="Y181" s="868"/>
      <c r="Z181" s="866"/>
      <c r="AA181" s="866"/>
      <c r="AB181" s="868"/>
      <c r="AC181" s="868"/>
    </row>
    <row r="182" spans="1:78" ht="18" customHeight="1" x14ac:dyDescent="0.25">
      <c r="A182" s="462" t="s">
        <v>334</v>
      </c>
      <c r="B182" s="319"/>
      <c r="C182" s="320"/>
      <c r="D182" s="320"/>
      <c r="E182" s="320"/>
      <c r="F182" s="320"/>
      <c r="G182" s="320"/>
      <c r="H182" s="320"/>
      <c r="I182" s="320"/>
      <c r="J182" s="320"/>
      <c r="K182" s="320"/>
      <c r="W182" s="866"/>
      <c r="X182" s="868"/>
      <c r="Y182" s="868"/>
      <c r="Z182" s="866"/>
      <c r="AA182" s="866"/>
      <c r="AB182" s="868"/>
      <c r="AC182" s="868"/>
    </row>
    <row r="183" spans="1:78" ht="18" customHeight="1" x14ac:dyDescent="0.25">
      <c r="A183" s="463" t="s">
        <v>335</v>
      </c>
      <c r="B183" s="319"/>
      <c r="C183" s="320"/>
      <c r="D183" s="320"/>
      <c r="E183" s="320"/>
      <c r="F183" s="320"/>
      <c r="G183" s="320"/>
      <c r="H183" s="320"/>
      <c r="I183" s="320"/>
      <c r="J183" s="320"/>
      <c r="K183" s="320"/>
      <c r="W183" s="866"/>
      <c r="X183" s="868"/>
      <c r="Y183" s="868"/>
      <c r="Z183" s="866"/>
      <c r="AA183" s="866"/>
      <c r="AB183" s="868"/>
      <c r="AC183" s="868"/>
    </row>
    <row r="184" spans="1:78" ht="17.25" customHeight="1" thickBot="1" x14ac:dyDescent="0.3">
      <c r="A184" s="453"/>
      <c r="B184" s="453"/>
      <c r="C184" s="328"/>
      <c r="D184" s="328"/>
      <c r="E184" s="328"/>
      <c r="F184" s="328"/>
      <c r="G184" s="328"/>
      <c r="H184" s="328"/>
      <c r="I184" s="328"/>
      <c r="J184" s="328"/>
      <c r="K184" s="443"/>
      <c r="W184" s="866"/>
      <c r="X184" s="868"/>
      <c r="Y184" s="868"/>
      <c r="Z184" s="866"/>
      <c r="AA184" s="866"/>
      <c r="AB184" s="868"/>
      <c r="AC184" s="868"/>
    </row>
    <row r="185" spans="1:78" ht="15" thickTop="1" thickBot="1" x14ac:dyDescent="0.3">
      <c r="A185" s="319" t="s">
        <v>378</v>
      </c>
      <c r="B185" s="319"/>
      <c r="C185" s="320"/>
      <c r="D185" s="320"/>
      <c r="E185" s="459"/>
      <c r="F185" s="459"/>
      <c r="G185" s="321" t="s">
        <v>60</v>
      </c>
      <c r="H185" s="459"/>
      <c r="I185" s="320"/>
      <c r="J185" s="320"/>
      <c r="K185" s="311" t="s">
        <v>274</v>
      </c>
      <c r="W185" s="866"/>
      <c r="X185" s="868"/>
      <c r="Y185" s="868"/>
      <c r="Z185" s="866"/>
      <c r="AA185" s="866"/>
      <c r="AB185" s="868"/>
      <c r="AC185" s="868"/>
    </row>
    <row r="186" spans="1:78" ht="14.4" thickTop="1" x14ac:dyDescent="0.25">
      <c r="A186" s="464" t="s">
        <v>206</v>
      </c>
      <c r="B186" s="464"/>
      <c r="C186" s="459"/>
      <c r="D186" s="459"/>
      <c r="E186" s="459"/>
      <c r="F186" s="459"/>
      <c r="G186" s="459"/>
      <c r="H186" s="459"/>
      <c r="I186" s="459"/>
      <c r="J186" s="459"/>
      <c r="K186" s="311"/>
      <c r="W186" s="866"/>
      <c r="X186" s="868"/>
      <c r="Y186" s="868"/>
      <c r="Z186" s="866"/>
      <c r="AA186" s="866"/>
      <c r="AB186" s="868"/>
      <c r="AC186" s="868"/>
    </row>
    <row r="187" spans="1:78" ht="14.4" thickBot="1" x14ac:dyDescent="0.3">
      <c r="A187" s="465"/>
      <c r="B187" s="465"/>
      <c r="C187" s="465"/>
      <c r="D187" s="465"/>
      <c r="E187" s="465"/>
      <c r="F187" s="465"/>
      <c r="G187" s="465"/>
      <c r="H187" s="325"/>
      <c r="I187" s="325"/>
      <c r="J187" s="466"/>
      <c r="K187" s="466"/>
      <c r="W187" s="866"/>
      <c r="X187" s="868"/>
      <c r="Y187" s="868"/>
      <c r="Z187" s="866"/>
      <c r="AA187" s="866"/>
      <c r="AB187" s="868"/>
      <c r="AC187" s="868"/>
    </row>
    <row r="188" spans="1:78" ht="15" thickTop="1" thickBot="1" x14ac:dyDescent="0.3">
      <c r="A188" s="319" t="s">
        <v>379</v>
      </c>
      <c r="B188" s="320"/>
      <c r="C188" s="320"/>
      <c r="D188" s="320"/>
      <c r="E188" s="320"/>
      <c r="F188" s="320"/>
      <c r="G188" s="320"/>
      <c r="H188" s="320"/>
      <c r="I188" s="321" t="s">
        <v>60</v>
      </c>
      <c r="J188" s="320"/>
      <c r="K188" s="311" t="s">
        <v>275</v>
      </c>
      <c r="W188" s="866"/>
      <c r="X188" s="868"/>
      <c r="Y188" s="868"/>
      <c r="Z188" s="866"/>
      <c r="AA188" s="866"/>
      <c r="AB188" s="868"/>
      <c r="AC188" s="868"/>
    </row>
    <row r="189" spans="1:78" ht="15" thickTop="1" thickBot="1" x14ac:dyDescent="0.3">
      <c r="A189" s="319" t="s">
        <v>211</v>
      </c>
      <c r="B189" s="319"/>
      <c r="C189" s="320"/>
      <c r="D189" s="320"/>
      <c r="E189" s="320"/>
      <c r="F189" s="320"/>
      <c r="G189" s="320"/>
      <c r="H189" s="309"/>
      <c r="I189" s="320"/>
      <c r="J189" s="321" t="s">
        <v>60</v>
      </c>
      <c r="K189" s="320"/>
      <c r="W189" s="866"/>
      <c r="X189" s="868"/>
      <c r="Y189" s="868"/>
      <c r="Z189" s="866"/>
      <c r="AA189" s="866"/>
      <c r="AB189" s="868"/>
      <c r="AC189" s="868"/>
    </row>
    <row r="190" spans="1:78" ht="15" thickTop="1" thickBot="1" x14ac:dyDescent="0.3">
      <c r="A190" s="322" t="s">
        <v>446</v>
      </c>
      <c r="B190" s="323"/>
      <c r="C190" s="323"/>
      <c r="D190" s="323"/>
      <c r="E190" s="323"/>
      <c r="F190" s="323"/>
      <c r="G190" s="323"/>
      <c r="H190" s="323"/>
      <c r="I190" s="322"/>
      <c r="J190" s="320"/>
      <c r="K190" s="320"/>
      <c r="W190" s="866"/>
      <c r="X190" s="868"/>
      <c r="Y190" s="868"/>
      <c r="Z190" s="866"/>
      <c r="AA190" s="866"/>
      <c r="AB190" s="868"/>
      <c r="AC190" s="868"/>
    </row>
    <row r="191" spans="1:78" ht="14.4" hidden="1" thickBot="1" x14ac:dyDescent="0.3">
      <c r="A191" s="68"/>
      <c r="B191" s="68"/>
      <c r="C191" s="68"/>
      <c r="D191" s="68"/>
      <c r="E191" s="68"/>
      <c r="F191" s="68"/>
      <c r="G191" s="68"/>
      <c r="H191" s="68"/>
      <c r="I191" s="68"/>
      <c r="J191" s="130" t="s">
        <v>198</v>
      </c>
      <c r="K191" s="68"/>
      <c r="W191" s="866"/>
      <c r="X191" s="868"/>
      <c r="Y191" s="868"/>
      <c r="Z191" s="866"/>
      <c r="AA191" s="866"/>
      <c r="AB191" s="868"/>
      <c r="AC191" s="868"/>
    </row>
    <row r="192" spans="1:78" ht="14.4" hidden="1" thickBot="1" x14ac:dyDescent="0.3">
      <c r="A192" s="68"/>
      <c r="B192" s="68"/>
      <c r="C192" s="68"/>
      <c r="D192" s="68"/>
      <c r="E192" s="68"/>
      <c r="F192" s="68"/>
      <c r="G192" s="68"/>
      <c r="H192" s="68"/>
      <c r="I192" s="68"/>
      <c r="J192" s="131">
        <v>0.69499999999999995</v>
      </c>
      <c r="K192" s="68"/>
      <c r="W192" s="866"/>
      <c r="X192" s="868"/>
      <c r="Y192" s="868"/>
      <c r="Z192" s="866"/>
      <c r="AA192" s="866"/>
      <c r="AB192" s="868"/>
      <c r="AC192" s="868"/>
    </row>
    <row r="193" spans="1:29" ht="14.4" hidden="1" thickBot="1" x14ac:dyDescent="0.3">
      <c r="A193" s="68"/>
      <c r="B193" s="68"/>
      <c r="C193" s="68"/>
      <c r="D193" s="68"/>
      <c r="E193" s="68"/>
      <c r="F193" s="68"/>
      <c r="G193" s="68"/>
      <c r="H193" s="68"/>
      <c r="I193" s="68"/>
      <c r="J193" s="131">
        <v>0.34</v>
      </c>
      <c r="K193" s="68"/>
      <c r="W193" s="866"/>
      <c r="X193" s="868"/>
      <c r="Y193" s="868"/>
      <c r="Z193" s="866"/>
      <c r="AA193" s="866"/>
      <c r="AB193" s="868"/>
      <c r="AC193" s="868"/>
    </row>
    <row r="194" spans="1:29" ht="14.4" hidden="1" thickBot="1" x14ac:dyDescent="0.3">
      <c r="A194" s="68"/>
      <c r="B194" s="68"/>
      <c r="C194" s="68"/>
      <c r="D194" s="68"/>
      <c r="E194" s="68"/>
      <c r="F194" s="68"/>
      <c r="G194" s="68"/>
      <c r="H194" s="68"/>
      <c r="I194" s="68"/>
      <c r="J194" s="131">
        <v>0.41</v>
      </c>
      <c r="K194" s="68"/>
      <c r="W194" s="866"/>
      <c r="X194" s="868"/>
      <c r="Y194" s="868"/>
      <c r="Z194" s="866"/>
      <c r="AA194" s="866"/>
      <c r="AB194" s="868"/>
      <c r="AC194" s="868"/>
    </row>
    <row r="195" spans="1:29" ht="18.899999999999999" customHeight="1" thickTop="1" thickBot="1" x14ac:dyDescent="0.3">
      <c r="A195" s="323"/>
      <c r="B195" s="323"/>
      <c r="C195" s="323"/>
      <c r="D195" s="323"/>
      <c r="E195" s="323"/>
      <c r="F195" s="323"/>
      <c r="G195" s="323"/>
      <c r="H195" s="323"/>
      <c r="I195" s="467" t="s">
        <v>203</v>
      </c>
      <c r="J195" s="468"/>
      <c r="K195" s="320"/>
      <c r="W195" s="866"/>
      <c r="X195" s="868"/>
      <c r="Y195" s="868"/>
      <c r="Z195" s="866"/>
      <c r="AA195" s="866"/>
      <c r="AB195" s="868"/>
      <c r="AC195" s="868"/>
    </row>
    <row r="196" spans="1:29" ht="15" hidden="1" thickTop="1" thickBot="1" x14ac:dyDescent="0.3">
      <c r="A196" s="68"/>
      <c r="B196" s="68"/>
      <c r="C196" s="68"/>
      <c r="D196" s="68"/>
      <c r="E196" s="68"/>
      <c r="F196" s="68"/>
      <c r="G196" s="68"/>
      <c r="H196" s="68"/>
      <c r="I196" s="68"/>
      <c r="J196" s="130" t="s">
        <v>205</v>
      </c>
      <c r="K196" s="68"/>
      <c r="W196" s="866"/>
      <c r="X196" s="868"/>
      <c r="Y196" s="868"/>
      <c r="Z196" s="866"/>
      <c r="AA196" s="866"/>
      <c r="AB196" s="868"/>
      <c r="AC196" s="868"/>
    </row>
    <row r="197" spans="1:29" ht="15" hidden="1" thickTop="1" thickBot="1" x14ac:dyDescent="0.3">
      <c r="A197" s="68"/>
      <c r="B197" s="68"/>
      <c r="C197" s="68"/>
      <c r="D197" s="68"/>
      <c r="E197" s="68"/>
      <c r="F197" s="68"/>
      <c r="G197" s="68"/>
      <c r="H197" s="68"/>
      <c r="I197" s="68"/>
      <c r="J197" s="131">
        <v>0.26</v>
      </c>
      <c r="K197" s="68"/>
      <c r="W197" s="866"/>
      <c r="X197" s="868"/>
      <c r="Y197" s="868"/>
      <c r="Z197" s="866"/>
      <c r="AA197" s="866"/>
      <c r="AB197" s="868"/>
      <c r="AC197" s="868"/>
    </row>
    <row r="198" spans="1:29" ht="15" hidden="1" thickTop="1" thickBot="1" x14ac:dyDescent="0.3">
      <c r="A198" s="68"/>
      <c r="B198" s="68"/>
      <c r="C198" s="68"/>
      <c r="D198" s="68"/>
      <c r="E198" s="68"/>
      <c r="F198" s="68"/>
      <c r="G198" s="68"/>
      <c r="H198" s="68"/>
      <c r="I198" s="68"/>
      <c r="J198" s="131">
        <v>0.34</v>
      </c>
      <c r="K198" s="68"/>
      <c r="W198" s="866"/>
      <c r="X198" s="868"/>
      <c r="Y198" s="868"/>
      <c r="Z198" s="866"/>
      <c r="AA198" s="866"/>
      <c r="AB198" s="868"/>
      <c r="AC198" s="868"/>
    </row>
    <row r="199" spans="1:29" ht="15" hidden="1" thickTop="1" thickBot="1" x14ac:dyDescent="0.3">
      <c r="A199" s="68"/>
      <c r="B199" s="68"/>
      <c r="C199" s="68"/>
      <c r="D199" s="68"/>
      <c r="E199" s="68"/>
      <c r="F199" s="68"/>
      <c r="G199" s="68"/>
      <c r="H199" s="68"/>
      <c r="I199" s="68"/>
      <c r="J199" s="131">
        <v>0.41</v>
      </c>
      <c r="K199" s="68"/>
      <c r="W199" s="866"/>
      <c r="X199" s="868"/>
      <c r="Y199" s="868"/>
      <c r="Z199" s="866"/>
      <c r="AA199" s="866"/>
      <c r="AB199" s="868"/>
      <c r="AC199" s="868"/>
    </row>
    <row r="200" spans="1:29" ht="20.25" customHeight="1" thickTop="1" thickBot="1" x14ac:dyDescent="0.3">
      <c r="A200" s="323"/>
      <c r="B200" s="323"/>
      <c r="C200" s="323"/>
      <c r="D200" s="323"/>
      <c r="E200" s="323"/>
      <c r="F200" s="323"/>
      <c r="G200" s="323"/>
      <c r="H200" s="323"/>
      <c r="I200" s="467" t="s">
        <v>204</v>
      </c>
      <c r="J200" s="324"/>
      <c r="K200" s="320"/>
      <c r="W200" s="866"/>
      <c r="X200" s="868"/>
      <c r="Y200" s="868"/>
      <c r="Z200" s="866"/>
      <c r="AA200" s="866"/>
      <c r="AB200" s="868"/>
      <c r="AC200" s="868"/>
    </row>
    <row r="201" spans="1:29" ht="14.4" thickTop="1" x14ac:dyDescent="0.25">
      <c r="A201" s="319" t="s">
        <v>207</v>
      </c>
      <c r="B201" s="320"/>
      <c r="C201" s="320"/>
      <c r="D201" s="320"/>
      <c r="E201" s="320"/>
      <c r="F201" s="320"/>
      <c r="G201" s="320"/>
      <c r="H201" s="320"/>
      <c r="I201" s="320"/>
      <c r="J201" s="320"/>
      <c r="K201" s="320"/>
      <c r="W201" s="866"/>
      <c r="X201" s="868"/>
      <c r="Y201" s="868"/>
      <c r="Z201" s="866"/>
      <c r="AA201" s="866"/>
      <c r="AB201" s="868"/>
      <c r="AC201" s="868"/>
    </row>
    <row r="202" spans="1:29" x14ac:dyDescent="0.25">
      <c r="A202" s="319" t="s">
        <v>221</v>
      </c>
      <c r="B202" s="320"/>
      <c r="C202" s="320"/>
      <c r="D202" s="320"/>
      <c r="E202" s="320"/>
      <c r="F202" s="320"/>
      <c r="G202" s="320"/>
      <c r="H202" s="320"/>
      <c r="I202" s="320"/>
      <c r="J202" s="320"/>
      <c r="K202" s="320"/>
      <c r="W202" s="866"/>
      <c r="X202" s="868"/>
      <c r="Y202" s="868"/>
      <c r="Z202" s="866"/>
      <c r="AA202" s="866"/>
      <c r="AB202" s="868"/>
      <c r="AC202" s="868"/>
    </row>
    <row r="203" spans="1:29" x14ac:dyDescent="0.25">
      <c r="A203" s="319" t="s">
        <v>419</v>
      </c>
      <c r="B203" s="320"/>
      <c r="C203" s="320"/>
      <c r="D203" s="320"/>
      <c r="E203" s="320"/>
      <c r="F203" s="320"/>
      <c r="G203" s="320"/>
      <c r="H203" s="320"/>
      <c r="I203" s="320"/>
      <c r="J203" s="320"/>
      <c r="K203" s="320"/>
      <c r="W203" s="866"/>
      <c r="X203" s="868"/>
      <c r="Y203" s="868"/>
      <c r="Z203" s="866"/>
      <c r="AA203" s="866"/>
      <c r="AB203" s="868"/>
      <c r="AC203" s="868"/>
    </row>
    <row r="204" spans="1:29" x14ac:dyDescent="0.25">
      <c r="A204" s="319" t="s">
        <v>210</v>
      </c>
      <c r="B204" s="320"/>
      <c r="C204" s="320"/>
      <c r="D204" s="320"/>
      <c r="E204" s="320"/>
      <c r="F204" s="320"/>
      <c r="G204" s="320"/>
      <c r="H204" s="320"/>
      <c r="I204" s="320"/>
      <c r="J204" s="320"/>
      <c r="K204" s="320"/>
      <c r="W204" s="866"/>
      <c r="X204" s="868"/>
      <c r="Y204" s="868"/>
      <c r="Z204" s="866"/>
      <c r="AA204" s="866"/>
      <c r="AB204" s="868"/>
      <c r="AC204" s="868"/>
    </row>
    <row r="205" spans="1:29" ht="7.5" customHeight="1" x14ac:dyDescent="0.25">
      <c r="A205" s="319"/>
      <c r="B205" s="320"/>
      <c r="C205" s="320"/>
      <c r="D205" s="320"/>
      <c r="E205" s="320"/>
      <c r="F205" s="320"/>
      <c r="G205" s="320"/>
      <c r="H205" s="320"/>
      <c r="I205" s="320"/>
      <c r="J205" s="320"/>
      <c r="K205" s="320"/>
      <c r="W205" s="866"/>
      <c r="X205" s="868"/>
      <c r="Y205" s="868"/>
      <c r="Z205" s="866"/>
      <c r="AA205" s="866"/>
      <c r="AB205" s="868"/>
      <c r="AC205" s="868"/>
    </row>
    <row r="206" spans="1:29" x14ac:dyDescent="0.25">
      <c r="A206" s="319" t="s">
        <v>225</v>
      </c>
      <c r="B206" s="320"/>
      <c r="C206" s="320"/>
      <c r="D206" s="320"/>
      <c r="E206" s="320"/>
      <c r="F206" s="320"/>
      <c r="G206" s="320"/>
      <c r="H206" s="320"/>
      <c r="I206" s="320"/>
      <c r="J206" s="320"/>
      <c r="K206" s="320"/>
      <c r="W206" s="866"/>
      <c r="X206" s="868"/>
      <c r="Y206" s="868"/>
      <c r="Z206" s="866"/>
      <c r="AA206" s="866"/>
      <c r="AB206" s="868"/>
      <c r="AC206" s="868"/>
    </row>
    <row r="207" spans="1:29" x14ac:dyDescent="0.25">
      <c r="A207" s="319" t="s">
        <v>176</v>
      </c>
      <c r="B207" s="320"/>
      <c r="C207" s="320"/>
      <c r="D207" s="320"/>
      <c r="E207" s="320"/>
      <c r="F207" s="320"/>
      <c r="G207" s="320"/>
      <c r="H207" s="320"/>
      <c r="I207" s="320"/>
      <c r="J207" s="320"/>
      <c r="K207" s="320"/>
      <c r="W207" s="866"/>
      <c r="X207" s="868"/>
      <c r="Y207" s="868"/>
      <c r="Z207" s="866"/>
      <c r="AA207" s="866"/>
      <c r="AB207" s="868"/>
      <c r="AC207" s="868"/>
    </row>
    <row r="208" spans="1:29" x14ac:dyDescent="0.25">
      <c r="A208" s="319" t="s">
        <v>214</v>
      </c>
      <c r="B208" s="320"/>
      <c r="C208" s="320"/>
      <c r="D208" s="320"/>
      <c r="E208" s="320"/>
      <c r="F208" s="320"/>
      <c r="G208" s="320"/>
      <c r="H208" s="320"/>
      <c r="I208" s="320"/>
      <c r="J208" s="320"/>
      <c r="K208" s="320"/>
      <c r="W208" s="866"/>
      <c r="X208" s="868"/>
      <c r="Y208" s="868"/>
      <c r="Z208" s="866"/>
      <c r="AA208" s="866"/>
      <c r="AB208" s="868"/>
      <c r="AC208" s="868"/>
    </row>
    <row r="209" spans="1:78" x14ac:dyDescent="0.25">
      <c r="A209" s="319" t="s">
        <v>177</v>
      </c>
      <c r="B209" s="320"/>
      <c r="C209" s="320"/>
      <c r="D209" s="320"/>
      <c r="E209" s="320"/>
      <c r="F209" s="320"/>
      <c r="G209" s="320"/>
      <c r="H209" s="320"/>
      <c r="I209" s="320"/>
      <c r="J209" s="320"/>
      <c r="K209" s="320"/>
      <c r="W209" s="866"/>
      <c r="X209" s="868"/>
      <c r="Y209" s="868"/>
      <c r="Z209" s="866"/>
      <c r="AA209" s="866"/>
      <c r="AB209" s="868"/>
      <c r="AC209" s="868"/>
    </row>
    <row r="210" spans="1:78" x14ac:dyDescent="0.25">
      <c r="A210" s="319" t="s">
        <v>215</v>
      </c>
      <c r="B210" s="320"/>
      <c r="C210" s="320"/>
      <c r="D210" s="320"/>
      <c r="E210" s="320"/>
      <c r="F210" s="320"/>
      <c r="G210" s="320"/>
      <c r="H210" s="320"/>
      <c r="I210" s="320"/>
      <c r="J210" s="320"/>
      <c r="K210" s="320"/>
      <c r="W210" s="866"/>
      <c r="X210" s="868"/>
      <c r="Y210" s="868"/>
      <c r="Z210" s="866"/>
      <c r="AA210" s="866"/>
      <c r="AB210" s="868"/>
      <c r="AC210" s="868"/>
    </row>
    <row r="211" spans="1:78" x14ac:dyDescent="0.25">
      <c r="A211" s="319" t="s">
        <v>189</v>
      </c>
      <c r="B211" s="320"/>
      <c r="C211" s="320"/>
      <c r="D211" s="320"/>
      <c r="E211" s="320"/>
      <c r="F211" s="320"/>
      <c r="G211" s="320"/>
      <c r="H211" s="320"/>
      <c r="I211" s="320"/>
      <c r="J211" s="320"/>
      <c r="K211" s="320"/>
      <c r="W211" s="866"/>
      <c r="X211" s="868"/>
      <c r="Y211" s="868"/>
      <c r="Z211" s="866"/>
      <c r="AA211" s="866"/>
      <c r="AB211" s="868"/>
      <c r="AC211" s="868"/>
    </row>
    <row r="212" spans="1:78" x14ac:dyDescent="0.25">
      <c r="A212" s="319" t="s">
        <v>216</v>
      </c>
      <c r="B212" s="320"/>
      <c r="C212" s="320"/>
      <c r="D212" s="320"/>
      <c r="E212" s="320"/>
      <c r="F212" s="320"/>
      <c r="G212" s="320"/>
      <c r="H212" s="320"/>
      <c r="I212" s="320"/>
      <c r="J212" s="320"/>
      <c r="K212" s="320"/>
      <c r="W212" s="866"/>
      <c r="X212" s="868"/>
      <c r="Y212" s="868"/>
      <c r="Z212" s="866"/>
      <c r="AA212" s="866"/>
      <c r="AB212" s="868"/>
      <c r="AC212" s="868"/>
    </row>
    <row r="213" spans="1:78" x14ac:dyDescent="0.25">
      <c r="A213" s="319" t="s">
        <v>217</v>
      </c>
      <c r="B213" s="320"/>
      <c r="C213" s="320"/>
      <c r="D213" s="320"/>
      <c r="E213" s="320"/>
      <c r="F213" s="320"/>
      <c r="G213" s="320"/>
      <c r="H213" s="320"/>
      <c r="I213" s="320"/>
      <c r="J213" s="320"/>
      <c r="K213" s="320"/>
      <c r="W213" s="866"/>
      <c r="X213" s="868"/>
      <c r="Y213" s="868"/>
      <c r="Z213" s="866"/>
      <c r="AA213" s="866"/>
      <c r="AB213" s="868"/>
      <c r="AC213" s="868"/>
    </row>
    <row r="214" spans="1:78" x14ac:dyDescent="0.25">
      <c r="A214" s="453"/>
      <c r="B214" s="328"/>
      <c r="C214" s="328"/>
      <c r="D214" s="328"/>
      <c r="E214" s="328"/>
      <c r="F214" s="328"/>
      <c r="G214" s="328"/>
      <c r="H214" s="328"/>
      <c r="I214" s="328"/>
      <c r="J214" s="328"/>
      <c r="K214" s="328"/>
      <c r="W214" s="866"/>
      <c r="X214" s="868"/>
      <c r="Y214" s="868"/>
      <c r="Z214" s="866"/>
      <c r="AA214" s="866"/>
      <c r="AB214" s="868"/>
      <c r="AC214" s="868"/>
    </row>
    <row r="215" spans="1:78" ht="25.5" customHeight="1" thickBot="1" x14ac:dyDescent="0.3">
      <c r="A215" s="626" t="s">
        <v>431</v>
      </c>
      <c r="B215" s="453"/>
      <c r="C215" s="328"/>
      <c r="D215" s="328"/>
      <c r="E215" s="328"/>
      <c r="F215" s="328"/>
      <c r="G215" s="328"/>
      <c r="H215" s="328"/>
      <c r="I215" s="328"/>
      <c r="J215" s="328"/>
      <c r="K215" s="443"/>
      <c r="W215" s="866"/>
      <c r="X215" s="868"/>
      <c r="Y215" s="868"/>
      <c r="Z215" s="866"/>
      <c r="AA215" s="866"/>
      <c r="AB215" s="868"/>
      <c r="AC215" s="868"/>
      <c r="AI215" s="126" t="s">
        <v>183</v>
      </c>
      <c r="AK215" s="125" t="e">
        <f>AK251/AM251</f>
        <v>#DIV/0!</v>
      </c>
      <c r="AL215" s="125" t="e">
        <f>AL251/AM251</f>
        <v>#DIV/0!</v>
      </c>
      <c r="AM215" s="154" t="e">
        <f>AK215+AL215</f>
        <v>#DIV/0!</v>
      </c>
    </row>
    <row r="216" spans="1:78" ht="15" thickTop="1" thickBot="1" x14ac:dyDescent="0.3">
      <c r="A216" s="319" t="s">
        <v>438</v>
      </c>
      <c r="B216" s="319"/>
      <c r="C216" s="320"/>
      <c r="D216" s="320"/>
      <c r="E216" s="320"/>
      <c r="F216" s="320"/>
      <c r="G216" s="320"/>
      <c r="H216" s="320"/>
      <c r="I216" s="321" t="s">
        <v>59</v>
      </c>
      <c r="J216" s="320"/>
      <c r="K216" s="311" t="s">
        <v>444</v>
      </c>
      <c r="W216" s="866"/>
      <c r="X216" s="868"/>
      <c r="Y216" s="868"/>
      <c r="Z216" s="866"/>
      <c r="AA216" s="866"/>
      <c r="AB216" s="868"/>
      <c r="AC216" s="868"/>
    </row>
    <row r="217" spans="1:78" ht="15" thickTop="1" thickBot="1" x14ac:dyDescent="0.3">
      <c r="A217" s="319" t="s">
        <v>318</v>
      </c>
      <c r="B217" s="319"/>
      <c r="C217" s="320"/>
      <c r="D217" s="320"/>
      <c r="E217" s="320"/>
      <c r="F217" s="320"/>
      <c r="G217" s="320"/>
      <c r="H217" s="320"/>
      <c r="I217" s="320"/>
      <c r="J217" s="449"/>
      <c r="K217" s="320"/>
      <c r="W217" s="866"/>
      <c r="X217" s="868"/>
      <c r="Y217" s="868"/>
      <c r="Z217" s="866"/>
      <c r="AA217" s="866"/>
      <c r="AB217" s="868"/>
      <c r="AC217" s="868"/>
    </row>
    <row r="218" spans="1:78" s="56" customFormat="1" ht="15" thickTop="1" thickBot="1" x14ac:dyDescent="0.3">
      <c r="A218" s="450"/>
      <c r="B218" s="450"/>
      <c r="C218" s="325"/>
      <c r="D218" s="325"/>
      <c r="E218" s="325"/>
      <c r="F218" s="325"/>
      <c r="G218" s="325"/>
      <c r="H218" s="325"/>
      <c r="I218" s="325"/>
      <c r="J218" s="325"/>
      <c r="K218" s="451"/>
      <c r="W218" s="325"/>
      <c r="X218" s="511"/>
      <c r="Y218" s="511"/>
      <c r="Z218" s="325"/>
      <c r="AA218" s="325"/>
      <c r="AB218" s="511"/>
      <c r="AC218" s="511"/>
      <c r="AN218" s="325"/>
      <c r="AO218" s="325"/>
      <c r="AP218" s="325"/>
      <c r="AQ218" s="325"/>
      <c r="AR218" s="325"/>
      <c r="AS218" s="325"/>
      <c r="AT218" s="325"/>
      <c r="AU218" s="325"/>
      <c r="AV218" s="325"/>
      <c r="AW218" s="325"/>
      <c r="AX218" s="325"/>
      <c r="AY218" s="325"/>
      <c r="AZ218" s="325"/>
      <c r="BA218" s="36"/>
      <c r="BB218" s="36"/>
      <c r="BC218" s="36"/>
      <c r="BD218" s="36"/>
      <c r="BE218" s="36"/>
      <c r="BF218" s="36"/>
      <c r="BG218" s="36"/>
      <c r="BH218" s="36"/>
      <c r="BI218" s="36"/>
      <c r="BJ218" s="36"/>
      <c r="BK218" s="36"/>
      <c r="BL218" s="36"/>
      <c r="BM218" s="36"/>
      <c r="BN218" s="36"/>
      <c r="BO218" s="36"/>
      <c r="BP218" s="36"/>
      <c r="BQ218" s="36"/>
      <c r="BR218" s="36"/>
      <c r="BS218" s="36"/>
      <c r="BT218" s="36"/>
      <c r="BU218" s="36"/>
      <c r="BV218" s="36"/>
      <c r="BW218" s="36"/>
      <c r="BX218" s="36"/>
      <c r="BY218" s="36"/>
      <c r="BZ218" s="36"/>
    </row>
    <row r="219" spans="1:78" ht="16.5" customHeight="1" thickTop="1" thickBot="1" x14ac:dyDescent="0.3">
      <c r="A219" s="438" t="s">
        <v>381</v>
      </c>
      <c r="B219" s="438"/>
      <c r="C219" s="438"/>
      <c r="D219" s="438"/>
      <c r="E219" s="321" t="s">
        <v>60</v>
      </c>
      <c r="F219" s="438"/>
      <c r="G219" s="438"/>
      <c r="H219" s="438"/>
      <c r="I219" s="438"/>
      <c r="J219" s="438"/>
      <c r="K219" s="311" t="s">
        <v>114</v>
      </c>
      <c r="W219" s="866"/>
      <c r="X219" s="868"/>
      <c r="Y219" s="868"/>
      <c r="Z219" s="866"/>
      <c r="AA219" s="866"/>
      <c r="AB219" s="868"/>
      <c r="AC219" s="868"/>
    </row>
    <row r="220" spans="1:78" ht="15" thickTop="1" thickBot="1" x14ac:dyDescent="0.3">
      <c r="A220" s="319" t="s">
        <v>319</v>
      </c>
      <c r="B220" s="319"/>
      <c r="C220" s="320"/>
      <c r="D220" s="320"/>
      <c r="E220" s="320"/>
      <c r="F220" s="320"/>
      <c r="G220" s="320"/>
      <c r="H220" s="320"/>
      <c r="I220" s="320"/>
      <c r="J220" s="320"/>
      <c r="K220" s="320"/>
      <c r="W220" s="866"/>
      <c r="X220" s="868"/>
      <c r="Y220" s="868"/>
      <c r="Z220" s="866"/>
      <c r="AA220" s="866"/>
      <c r="AB220" s="868"/>
      <c r="AC220" s="868"/>
    </row>
    <row r="221" spans="1:78" ht="15" thickTop="1" thickBot="1" x14ac:dyDescent="0.3">
      <c r="A221" s="319"/>
      <c r="B221" s="319"/>
      <c r="C221" s="320"/>
      <c r="D221" s="320"/>
      <c r="E221" s="320"/>
      <c r="F221" s="320"/>
      <c r="G221" s="320"/>
      <c r="H221" s="320"/>
      <c r="I221" s="320"/>
      <c r="J221" s="320"/>
      <c r="K221" s="452"/>
      <c r="W221" s="866"/>
      <c r="X221" s="868"/>
      <c r="Y221" s="868"/>
      <c r="Z221" s="866"/>
      <c r="AA221" s="866"/>
      <c r="AB221" s="868"/>
      <c r="AC221" s="868"/>
    </row>
    <row r="222" spans="1:78" ht="15" thickTop="1" thickBot="1" x14ac:dyDescent="0.3">
      <c r="A222" s="319"/>
      <c r="B222" s="319"/>
      <c r="C222" s="320"/>
      <c r="D222" s="320"/>
      <c r="E222" s="320"/>
      <c r="F222" s="320"/>
      <c r="G222" s="320"/>
      <c r="H222" s="320"/>
      <c r="I222" s="320"/>
      <c r="J222" s="320"/>
      <c r="K222" s="452"/>
      <c r="W222" s="866"/>
      <c r="X222" s="868"/>
      <c r="Y222" s="868"/>
      <c r="Z222" s="866"/>
      <c r="AA222" s="866"/>
      <c r="AB222" s="868"/>
      <c r="AC222" s="868"/>
    </row>
    <row r="223" spans="1:78" ht="15" thickTop="1" thickBot="1" x14ac:dyDescent="0.3">
      <c r="A223" s="319"/>
      <c r="B223" s="319"/>
      <c r="C223" s="320"/>
      <c r="D223" s="320"/>
      <c r="E223" s="320"/>
      <c r="F223" s="320"/>
      <c r="G223" s="320"/>
      <c r="H223" s="320"/>
      <c r="I223" s="320"/>
      <c r="J223" s="320"/>
      <c r="K223" s="452"/>
      <c r="W223" s="866"/>
      <c r="X223" s="868"/>
      <c r="Y223" s="868"/>
      <c r="Z223" s="866"/>
      <c r="AA223" s="866"/>
      <c r="AB223" s="868"/>
      <c r="AC223" s="868"/>
    </row>
    <row r="224" spans="1:78" ht="14.4" thickTop="1" x14ac:dyDescent="0.25">
      <c r="A224" s="450"/>
      <c r="B224" s="450"/>
      <c r="C224" s="325"/>
      <c r="D224" s="325"/>
      <c r="E224" s="325"/>
      <c r="F224" s="325"/>
      <c r="G224" s="325"/>
      <c r="H224" s="325"/>
      <c r="I224" s="325"/>
      <c r="J224" s="325"/>
      <c r="K224" s="451"/>
      <c r="W224" s="866"/>
      <c r="X224" s="868"/>
      <c r="Y224" s="868"/>
      <c r="Z224" s="866"/>
      <c r="AA224" s="866"/>
      <c r="AB224" s="868"/>
      <c r="AC224" s="868"/>
    </row>
    <row r="225" spans="1:39" ht="25.5" customHeight="1" thickBot="1" x14ac:dyDescent="0.3">
      <c r="A225" s="626" t="s">
        <v>380</v>
      </c>
      <c r="B225" s="453"/>
      <c r="C225" s="328"/>
      <c r="D225" s="328"/>
      <c r="E225" s="328"/>
      <c r="F225" s="328"/>
      <c r="G225" s="328"/>
      <c r="H225" s="328"/>
      <c r="I225" s="328"/>
      <c r="J225" s="328"/>
      <c r="K225" s="443"/>
      <c r="W225" s="866"/>
      <c r="X225" s="868"/>
      <c r="Y225" s="868"/>
      <c r="Z225" s="866"/>
      <c r="AA225" s="866"/>
      <c r="AB225" s="868"/>
      <c r="AC225" s="868"/>
      <c r="AI225" s="126" t="s">
        <v>183</v>
      </c>
      <c r="AK225" s="125">
        <f>AK108/AM108</f>
        <v>0.44673800510854661</v>
      </c>
      <c r="AL225" s="125">
        <f>AL108/AM108</f>
        <v>0.55326199489145345</v>
      </c>
      <c r="AM225" s="154">
        <f>AK225+AL225</f>
        <v>1</v>
      </c>
    </row>
    <row r="226" spans="1:39" ht="15" thickTop="1" thickBot="1" x14ac:dyDescent="0.3">
      <c r="A226" s="319" t="s">
        <v>384</v>
      </c>
      <c r="B226" s="319"/>
      <c r="C226" s="320"/>
      <c r="D226" s="320"/>
      <c r="E226" s="320"/>
      <c r="F226" s="320"/>
      <c r="G226" s="320"/>
      <c r="H226" s="309"/>
      <c r="I226" s="321" t="s">
        <v>59</v>
      </c>
      <c r="J226" s="320"/>
      <c r="K226" s="311" t="s">
        <v>52</v>
      </c>
      <c r="W226" s="866"/>
      <c r="X226" s="868"/>
      <c r="Y226" s="868"/>
      <c r="Z226" s="866"/>
      <c r="AA226" s="866"/>
      <c r="AB226" s="868"/>
      <c r="AC226" s="868"/>
    </row>
    <row r="227" spans="1:39" ht="15" hidden="1" thickTop="1" thickBot="1" x14ac:dyDescent="0.3">
      <c r="A227" s="313"/>
      <c r="B227" s="313"/>
      <c r="C227" s="314"/>
      <c r="D227" s="314"/>
      <c r="E227" s="314"/>
      <c r="F227" s="314"/>
      <c r="G227" s="314"/>
      <c r="H227" s="315"/>
      <c r="I227" s="314"/>
      <c r="J227" s="316" t="s">
        <v>56</v>
      </c>
      <c r="K227" s="314"/>
      <c r="W227" s="866"/>
      <c r="X227" s="868"/>
      <c r="Y227" s="868"/>
      <c r="Z227" s="866"/>
      <c r="AA227" s="866"/>
      <c r="AB227" s="868"/>
      <c r="AC227" s="868"/>
    </row>
    <row r="228" spans="1:39" ht="15" hidden="1" thickTop="1" thickBot="1" x14ac:dyDescent="0.3">
      <c r="A228" s="313"/>
      <c r="B228" s="313"/>
      <c r="C228" s="314"/>
      <c r="D228" s="314"/>
      <c r="E228" s="314"/>
      <c r="F228" s="314"/>
      <c r="G228" s="314"/>
      <c r="H228" s="315"/>
      <c r="I228" s="314"/>
      <c r="J228" s="317">
        <v>0</v>
      </c>
      <c r="K228" s="314"/>
      <c r="W228" s="866"/>
      <c r="X228" s="868"/>
      <c r="Y228" s="868"/>
      <c r="Z228" s="866"/>
      <c r="AA228" s="866"/>
      <c r="AB228" s="868"/>
      <c r="AC228" s="868"/>
    </row>
    <row r="229" spans="1:39" ht="15" hidden="1" thickTop="1" thickBot="1" x14ac:dyDescent="0.3">
      <c r="A229" s="313"/>
      <c r="B229" s="313"/>
      <c r="C229" s="314"/>
      <c r="D229" s="314"/>
      <c r="E229" s="314"/>
      <c r="F229" s="314"/>
      <c r="G229" s="314"/>
      <c r="H229" s="315"/>
      <c r="I229" s="314"/>
      <c r="J229" s="317">
        <v>0.08</v>
      </c>
      <c r="K229" s="314"/>
      <c r="W229" s="866"/>
      <c r="X229" s="868"/>
      <c r="Y229" s="868"/>
      <c r="Z229" s="866"/>
      <c r="AA229" s="866"/>
      <c r="AB229" s="868"/>
      <c r="AC229" s="868"/>
    </row>
    <row r="230" spans="1:39" ht="15" hidden="1" thickTop="1" thickBot="1" x14ac:dyDescent="0.3">
      <c r="A230" s="313"/>
      <c r="B230" s="313"/>
      <c r="C230" s="314"/>
      <c r="D230" s="314"/>
      <c r="E230" s="314"/>
      <c r="F230" s="314"/>
      <c r="G230" s="314"/>
      <c r="H230" s="315"/>
      <c r="I230" s="314"/>
      <c r="J230" s="317">
        <v>0.1</v>
      </c>
      <c r="K230" s="314"/>
      <c r="W230" s="866"/>
      <c r="X230" s="868"/>
      <c r="Y230" s="868"/>
      <c r="Z230" s="866"/>
      <c r="AA230" s="866"/>
      <c r="AB230" s="868"/>
      <c r="AC230" s="868"/>
    </row>
    <row r="231" spans="1:39" ht="15" hidden="1" thickTop="1" thickBot="1" x14ac:dyDescent="0.3">
      <c r="A231" s="313"/>
      <c r="B231" s="313"/>
      <c r="C231" s="314"/>
      <c r="D231" s="314"/>
      <c r="E231" s="314"/>
      <c r="F231" s="314"/>
      <c r="G231" s="314"/>
      <c r="H231" s="315"/>
      <c r="I231" s="314"/>
      <c r="J231" s="317">
        <v>0.15</v>
      </c>
      <c r="K231" s="314"/>
      <c r="W231" s="866"/>
      <c r="X231" s="868"/>
      <c r="Y231" s="868"/>
      <c r="Z231" s="866"/>
      <c r="AA231" s="866"/>
      <c r="AB231" s="868"/>
      <c r="AC231" s="868"/>
    </row>
    <row r="232" spans="1:39" ht="15" hidden="1" thickTop="1" thickBot="1" x14ac:dyDescent="0.3">
      <c r="A232" s="313"/>
      <c r="B232" s="313"/>
      <c r="C232" s="314"/>
      <c r="D232" s="314"/>
      <c r="E232" s="314"/>
      <c r="F232" s="314"/>
      <c r="G232" s="314"/>
      <c r="H232" s="315"/>
      <c r="I232" s="314"/>
      <c r="J232" s="317">
        <v>0.2</v>
      </c>
      <c r="K232" s="314"/>
      <c r="W232" s="866"/>
      <c r="X232" s="868"/>
      <c r="Y232" s="868"/>
      <c r="Z232" s="866"/>
      <c r="AA232" s="866"/>
      <c r="AB232" s="868"/>
      <c r="AC232" s="868"/>
    </row>
    <row r="233" spans="1:39" ht="15" hidden="1" thickTop="1" thickBot="1" x14ac:dyDescent="0.3">
      <c r="A233" s="313"/>
      <c r="B233" s="313"/>
      <c r="C233" s="314"/>
      <c r="D233" s="314"/>
      <c r="E233" s="314"/>
      <c r="F233" s="314"/>
      <c r="G233" s="314"/>
      <c r="H233" s="315"/>
      <c r="I233" s="314"/>
      <c r="J233" s="317">
        <v>0.25</v>
      </c>
      <c r="K233" s="314"/>
      <c r="W233" s="866"/>
      <c r="X233" s="868"/>
      <c r="Y233" s="868"/>
      <c r="Z233" s="866"/>
      <c r="AA233" s="866"/>
      <c r="AB233" s="868"/>
      <c r="AC233" s="868"/>
    </row>
    <row r="234" spans="1:39" ht="15" hidden="1" thickTop="1" thickBot="1" x14ac:dyDescent="0.3">
      <c r="A234" s="313"/>
      <c r="B234" s="313"/>
      <c r="C234" s="314"/>
      <c r="D234" s="314"/>
      <c r="E234" s="314"/>
      <c r="F234" s="314"/>
      <c r="G234" s="314"/>
      <c r="H234" s="315"/>
      <c r="I234" s="314"/>
      <c r="J234" s="317">
        <v>0.26</v>
      </c>
      <c r="K234" s="314"/>
      <c r="W234" s="866"/>
      <c r="X234" s="868"/>
      <c r="Y234" s="868"/>
      <c r="Z234" s="866"/>
      <c r="AA234" s="866"/>
      <c r="AB234" s="868"/>
      <c r="AC234" s="868"/>
    </row>
    <row r="235" spans="1:39" ht="15" hidden="1" thickTop="1" thickBot="1" x14ac:dyDescent="0.3">
      <c r="A235" s="313"/>
      <c r="B235" s="313"/>
      <c r="C235" s="314"/>
      <c r="D235" s="314"/>
      <c r="E235" s="314"/>
      <c r="F235" s="314"/>
      <c r="G235" s="314"/>
      <c r="H235" s="315"/>
      <c r="I235" s="314"/>
      <c r="J235" s="317">
        <v>0.3</v>
      </c>
      <c r="K235" s="314"/>
      <c r="W235" s="866"/>
      <c r="X235" s="868"/>
      <c r="Y235" s="868"/>
      <c r="Z235" s="866"/>
      <c r="AA235" s="866"/>
      <c r="AB235" s="868"/>
      <c r="AC235" s="868"/>
    </row>
    <row r="236" spans="1:39" ht="15" hidden="1" thickTop="1" thickBot="1" x14ac:dyDescent="0.3">
      <c r="A236" s="313"/>
      <c r="B236" s="313"/>
      <c r="C236" s="314"/>
      <c r="D236" s="314"/>
      <c r="E236" s="314"/>
      <c r="F236" s="314"/>
      <c r="G236" s="314"/>
      <c r="H236" s="315"/>
      <c r="I236" s="314"/>
      <c r="J236" s="317">
        <v>0.34</v>
      </c>
      <c r="K236" s="314"/>
      <c r="W236" s="866"/>
      <c r="X236" s="868"/>
      <c r="Y236" s="868"/>
      <c r="Z236" s="866"/>
      <c r="AA236" s="866"/>
      <c r="AB236" s="868"/>
      <c r="AC236" s="868"/>
    </row>
    <row r="237" spans="1:39" ht="15" hidden="1" thickTop="1" thickBot="1" x14ac:dyDescent="0.3">
      <c r="A237" s="313"/>
      <c r="B237" s="313"/>
      <c r="C237" s="314"/>
      <c r="D237" s="314"/>
      <c r="E237" s="314"/>
      <c r="F237" s="314"/>
      <c r="G237" s="314"/>
      <c r="H237" s="315"/>
      <c r="I237" s="314"/>
      <c r="J237" s="317">
        <v>0.35</v>
      </c>
      <c r="K237" s="314"/>
      <c r="W237" s="866"/>
      <c r="X237" s="868"/>
      <c r="Y237" s="868"/>
      <c r="Z237" s="866"/>
      <c r="AA237" s="866"/>
      <c r="AB237" s="868"/>
      <c r="AC237" s="868"/>
    </row>
    <row r="238" spans="1:39" ht="15" hidden="1" thickTop="1" thickBot="1" x14ac:dyDescent="0.3">
      <c r="A238" s="313"/>
      <c r="B238" s="313"/>
      <c r="C238" s="314"/>
      <c r="D238" s="314"/>
      <c r="E238" s="314"/>
      <c r="F238" s="314"/>
      <c r="G238" s="314"/>
      <c r="H238" s="315"/>
      <c r="I238" s="314"/>
      <c r="J238" s="317">
        <v>0.4</v>
      </c>
      <c r="K238" s="314"/>
      <c r="W238" s="866"/>
      <c r="X238" s="868"/>
      <c r="Y238" s="868"/>
      <c r="Z238" s="866"/>
      <c r="AA238" s="866"/>
      <c r="AB238" s="868"/>
      <c r="AC238" s="868"/>
    </row>
    <row r="239" spans="1:39" ht="15" hidden="1" thickTop="1" thickBot="1" x14ac:dyDescent="0.3">
      <c r="A239" s="313"/>
      <c r="B239" s="313"/>
      <c r="C239" s="314"/>
      <c r="D239" s="314"/>
      <c r="E239" s="314"/>
      <c r="F239" s="314"/>
      <c r="G239" s="314"/>
      <c r="H239" s="315"/>
      <c r="I239" s="314"/>
      <c r="J239" s="317">
        <v>0.41</v>
      </c>
      <c r="K239" s="314"/>
      <c r="W239" s="866"/>
      <c r="X239" s="868"/>
      <c r="Y239" s="868"/>
      <c r="Z239" s="866"/>
      <c r="AA239" s="866"/>
      <c r="AB239" s="868"/>
      <c r="AC239" s="868"/>
    </row>
    <row r="240" spans="1:39" ht="15" hidden="1" thickTop="1" thickBot="1" x14ac:dyDescent="0.3">
      <c r="A240" s="313"/>
      <c r="B240" s="313"/>
      <c r="C240" s="314"/>
      <c r="D240" s="314"/>
      <c r="E240" s="314"/>
      <c r="F240" s="314"/>
      <c r="G240" s="314"/>
      <c r="H240" s="315"/>
      <c r="I240" s="314"/>
      <c r="J240" s="318">
        <v>0.69499999999999995</v>
      </c>
      <c r="K240" s="314"/>
      <c r="W240" s="866"/>
      <c r="X240" s="868"/>
      <c r="Y240" s="868"/>
      <c r="Z240" s="866"/>
      <c r="AA240" s="866"/>
      <c r="AB240" s="868"/>
      <c r="AC240" s="868"/>
    </row>
    <row r="241" spans="1:29" ht="20.25" customHeight="1" thickTop="1" thickBot="1" x14ac:dyDescent="0.3">
      <c r="A241" s="322" t="s">
        <v>123</v>
      </c>
      <c r="B241" s="322"/>
      <c r="C241" s="322"/>
      <c r="D241" s="322"/>
      <c r="E241" s="322"/>
      <c r="F241" s="322"/>
      <c r="G241" s="322"/>
      <c r="H241" s="323"/>
      <c r="I241" s="322"/>
      <c r="J241" s="324"/>
      <c r="K241" s="320"/>
      <c r="W241" s="866"/>
      <c r="X241" s="868"/>
      <c r="Y241" s="868"/>
      <c r="Z241" s="866"/>
      <c r="AA241" s="866"/>
      <c r="AB241" s="868"/>
      <c r="AC241" s="868"/>
    </row>
    <row r="242" spans="1:29" ht="16.5" customHeight="1" thickTop="1" thickBot="1" x14ac:dyDescent="0.3">
      <c r="A242" s="436"/>
      <c r="B242" s="436"/>
      <c r="C242" s="436"/>
      <c r="D242" s="436"/>
      <c r="E242" s="436"/>
      <c r="F242" s="436"/>
      <c r="G242" s="436"/>
      <c r="H242" s="437"/>
      <c r="I242" s="436"/>
      <c r="J242" s="436"/>
      <c r="K242" s="325"/>
      <c r="W242" s="866"/>
      <c r="X242" s="868"/>
      <c r="Y242" s="868"/>
      <c r="Z242" s="866"/>
      <c r="AA242" s="866"/>
      <c r="AB242" s="868"/>
      <c r="AC242" s="868"/>
    </row>
    <row r="243" spans="1:29" ht="16.5" customHeight="1" thickTop="1" thickBot="1" x14ac:dyDescent="0.3">
      <c r="A243" s="438" t="s">
        <v>382</v>
      </c>
      <c r="B243" s="438"/>
      <c r="C243" s="438"/>
      <c r="D243" s="438"/>
      <c r="E243" s="321" t="s">
        <v>60</v>
      </c>
      <c r="F243" s="438"/>
      <c r="G243" s="438"/>
      <c r="H243" s="439"/>
      <c r="I243" s="438"/>
      <c r="J243" s="438"/>
      <c r="K243" s="311" t="s">
        <v>269</v>
      </c>
      <c r="W243" s="866"/>
      <c r="X243" s="868"/>
      <c r="Y243" s="868"/>
      <c r="Z243" s="866"/>
      <c r="AA243" s="866"/>
      <c r="AB243" s="868"/>
      <c r="AC243" s="868"/>
    </row>
    <row r="244" spans="1:29" ht="21" customHeight="1" thickTop="1" x14ac:dyDescent="0.25">
      <c r="A244" s="438" t="s">
        <v>213</v>
      </c>
      <c r="B244" s="438"/>
      <c r="C244" s="438"/>
      <c r="D244" s="438"/>
      <c r="E244" s="438"/>
      <c r="F244" s="438"/>
      <c r="G244" s="438"/>
      <c r="H244" s="439"/>
      <c r="I244" s="438"/>
      <c r="J244" s="438"/>
      <c r="K244" s="320"/>
      <c r="W244" s="866"/>
      <c r="X244" s="868"/>
      <c r="Y244" s="868"/>
      <c r="Z244" s="866"/>
      <c r="AA244" s="866"/>
      <c r="AB244" s="868"/>
      <c r="AC244" s="868"/>
    </row>
    <row r="245" spans="1:29" ht="16.5" customHeight="1" x14ac:dyDescent="0.25">
      <c r="A245" s="438" t="s">
        <v>439</v>
      </c>
      <c r="B245" s="438"/>
      <c r="C245" s="438"/>
      <c r="D245" s="438"/>
      <c r="E245" s="438"/>
      <c r="F245" s="438"/>
      <c r="G245" s="438"/>
      <c r="H245" s="439"/>
      <c r="I245" s="438"/>
      <c r="J245" s="438"/>
      <c r="K245" s="320"/>
      <c r="W245" s="866"/>
      <c r="X245" s="868"/>
      <c r="Y245" s="868"/>
      <c r="Z245" s="866"/>
      <c r="AA245" s="866"/>
      <c r="AB245" s="868"/>
      <c r="AC245" s="868"/>
    </row>
    <row r="246" spans="1:29" ht="16.5" customHeight="1" x14ac:dyDescent="0.25">
      <c r="A246" s="438" t="s">
        <v>440</v>
      </c>
      <c r="B246" s="438"/>
      <c r="C246" s="438"/>
      <c r="D246" s="438"/>
      <c r="E246" s="438"/>
      <c r="F246" s="438"/>
      <c r="G246" s="438"/>
      <c r="H246" s="439"/>
      <c r="I246" s="438"/>
      <c r="J246" s="438"/>
      <c r="K246" s="320"/>
      <c r="W246" s="866"/>
      <c r="X246" s="868"/>
      <c r="Y246" s="868"/>
      <c r="Z246" s="866"/>
      <c r="AA246" s="866"/>
      <c r="AB246" s="868"/>
      <c r="AC246" s="868"/>
    </row>
    <row r="247" spans="1:29" ht="16.5" customHeight="1" x14ac:dyDescent="0.25">
      <c r="A247" s="438" t="s">
        <v>153</v>
      </c>
      <c r="B247" s="438"/>
      <c r="C247" s="438"/>
      <c r="D247" s="438"/>
      <c r="E247" s="438"/>
      <c r="F247" s="438"/>
      <c r="G247" s="438"/>
      <c r="H247" s="439"/>
      <c r="I247" s="438"/>
      <c r="J247" s="438"/>
      <c r="K247" s="320"/>
      <c r="W247" s="866"/>
      <c r="X247" s="868"/>
      <c r="Y247" s="868"/>
      <c r="Z247" s="866"/>
      <c r="AA247" s="866"/>
      <c r="AB247" s="868"/>
      <c r="AC247" s="868"/>
    </row>
    <row r="248" spans="1:29" ht="16.5" customHeight="1" thickBot="1" x14ac:dyDescent="0.3">
      <c r="A248" s="98"/>
      <c r="B248" s="98"/>
      <c r="C248" s="98"/>
      <c r="D248" s="98"/>
      <c r="E248" s="98"/>
      <c r="F248" s="98"/>
      <c r="G248" s="98"/>
      <c r="H248" s="99"/>
      <c r="I248" s="98"/>
      <c r="J248" s="98"/>
      <c r="K248" s="36"/>
      <c r="W248" s="866"/>
      <c r="X248" s="868"/>
      <c r="Y248" s="868"/>
      <c r="Z248" s="866"/>
      <c r="AA248" s="866"/>
      <c r="AB248" s="868"/>
      <c r="AC248" s="868"/>
    </row>
    <row r="249" spans="1:29" ht="16.5" customHeight="1" thickTop="1" thickBot="1" x14ac:dyDescent="0.3">
      <c r="A249" s="438" t="s">
        <v>383</v>
      </c>
      <c r="B249" s="438"/>
      <c r="C249" s="438"/>
      <c r="D249" s="438"/>
      <c r="E249" s="438"/>
      <c r="F249" s="438"/>
      <c r="G249" s="321" t="s">
        <v>59</v>
      </c>
      <c r="H249" s="439"/>
      <c r="I249" s="438"/>
      <c r="J249" s="438"/>
      <c r="K249" s="440" t="s">
        <v>149</v>
      </c>
      <c r="W249" s="866"/>
      <c r="X249" s="868"/>
      <c r="Y249" s="868"/>
      <c r="Z249" s="866"/>
      <c r="AA249" s="866"/>
      <c r="AB249" s="868"/>
      <c r="AC249" s="868"/>
    </row>
    <row r="250" spans="1:29" ht="16.5" customHeight="1" thickTop="1" x14ac:dyDescent="0.25">
      <c r="A250" s="438" t="s">
        <v>437</v>
      </c>
      <c r="B250" s="438"/>
      <c r="C250" s="438"/>
      <c r="D250" s="438"/>
      <c r="E250" s="438"/>
      <c r="F250" s="438"/>
      <c r="G250" s="438"/>
      <c r="H250" s="439"/>
      <c r="I250" s="438"/>
      <c r="J250" s="438"/>
      <c r="K250" s="441" t="s">
        <v>150</v>
      </c>
      <c r="W250" s="866"/>
      <c r="X250" s="868"/>
      <c r="Y250" s="868"/>
      <c r="Z250" s="866"/>
      <c r="AA250" s="866"/>
      <c r="AB250" s="868"/>
      <c r="AC250" s="868"/>
    </row>
    <row r="251" spans="1:29" ht="16.5" customHeight="1" x14ac:dyDescent="0.25">
      <c r="A251" s="438" t="s">
        <v>146</v>
      </c>
      <c r="B251" s="438"/>
      <c r="C251" s="438"/>
      <c r="D251" s="438"/>
      <c r="E251" s="438"/>
      <c r="F251" s="438"/>
      <c r="G251" s="438"/>
      <c r="H251" s="439"/>
      <c r="I251" s="438"/>
      <c r="J251" s="438"/>
      <c r="K251" s="320"/>
      <c r="W251" s="866"/>
      <c r="X251" s="868"/>
      <c r="Y251" s="868"/>
      <c r="Z251" s="866"/>
      <c r="AA251" s="866"/>
      <c r="AB251" s="868"/>
      <c r="AC251" s="868"/>
    </row>
    <row r="252" spans="1:29" ht="16.5" customHeight="1" x14ac:dyDescent="0.25">
      <c r="A252" s="438" t="s">
        <v>435</v>
      </c>
      <c r="B252" s="438"/>
      <c r="C252" s="438"/>
      <c r="D252" s="438"/>
      <c r="E252" s="438"/>
      <c r="F252" s="438"/>
      <c r="G252" s="438"/>
      <c r="H252" s="439"/>
      <c r="I252" s="438"/>
      <c r="J252" s="438"/>
      <c r="K252" s="320"/>
      <c r="W252" s="866"/>
      <c r="X252" s="868"/>
      <c r="Y252" s="868"/>
      <c r="Z252" s="866"/>
      <c r="AA252" s="866"/>
      <c r="AB252" s="868"/>
      <c r="AC252" s="868"/>
    </row>
    <row r="253" spans="1:29" ht="16.5" customHeight="1" x14ac:dyDescent="0.25">
      <c r="A253" s="438" t="s">
        <v>436</v>
      </c>
      <c r="B253" s="438"/>
      <c r="C253" s="438"/>
      <c r="D253" s="438"/>
      <c r="E253" s="438"/>
      <c r="F253" s="438"/>
      <c r="G253" s="438"/>
      <c r="H253" s="439"/>
      <c r="I253" s="438"/>
      <c r="J253" s="438"/>
      <c r="K253" s="320"/>
      <c r="W253" s="866"/>
      <c r="X253" s="868"/>
      <c r="Y253" s="868"/>
      <c r="Z253" s="866"/>
      <c r="AA253" s="866"/>
      <c r="AB253" s="868"/>
      <c r="AC253" s="868"/>
    </row>
    <row r="254" spans="1:29" ht="16.5" customHeight="1" x14ac:dyDescent="0.25">
      <c r="A254" s="895"/>
      <c r="B254" s="895"/>
      <c r="C254" s="895"/>
      <c r="D254" s="895"/>
      <c r="E254" s="895"/>
      <c r="F254" s="895"/>
      <c r="G254" s="895"/>
      <c r="H254" s="896"/>
      <c r="I254" s="436"/>
      <c r="J254" s="436"/>
      <c r="K254" s="325"/>
      <c r="W254" s="866"/>
      <c r="X254" s="868"/>
      <c r="Y254" s="868"/>
      <c r="Z254" s="866"/>
      <c r="AA254" s="866"/>
      <c r="AB254" s="868"/>
      <c r="AC254" s="868"/>
    </row>
    <row r="255" spans="1:29" ht="16.5" customHeight="1" x14ac:dyDescent="0.25">
      <c r="A255" s="860"/>
      <c r="B255" s="860"/>
      <c r="C255" s="861"/>
      <c r="D255" s="861"/>
      <c r="E255" s="861"/>
      <c r="F255" s="861"/>
      <c r="G255" s="861"/>
      <c r="H255" s="861"/>
      <c r="I255" s="861"/>
      <c r="J255" s="861"/>
      <c r="K255" s="861"/>
      <c r="W255" s="866"/>
      <c r="X255" s="868"/>
      <c r="Y255" s="868"/>
      <c r="Z255" s="866"/>
      <c r="AA255" s="866"/>
      <c r="AB255" s="868"/>
      <c r="AC255" s="868"/>
    </row>
    <row r="256" spans="1:29" ht="14.4" x14ac:dyDescent="0.25">
      <c r="A256" s="897"/>
      <c r="B256" s="883"/>
      <c r="C256" s="884"/>
      <c r="D256" s="884"/>
      <c r="E256" s="884"/>
      <c r="F256" s="884"/>
      <c r="G256" s="884"/>
      <c r="H256" s="884"/>
      <c r="I256" s="884"/>
      <c r="J256" s="884"/>
      <c r="K256" s="884"/>
      <c r="L256" s="63"/>
      <c r="M256" s="63"/>
      <c r="W256" s="866"/>
      <c r="X256" s="868"/>
      <c r="Y256" s="868"/>
      <c r="Z256" s="866"/>
      <c r="AA256" s="866"/>
      <c r="AB256" s="868"/>
      <c r="AC256" s="868"/>
    </row>
    <row r="257" spans="1:29" ht="14.4" thickBot="1" x14ac:dyDescent="0.3">
      <c r="A257" s="857"/>
      <c r="B257" s="858"/>
      <c r="C257" s="859"/>
      <c r="D257" s="859"/>
      <c r="E257" s="859"/>
      <c r="F257" s="859"/>
      <c r="G257" s="859"/>
      <c r="H257" s="859"/>
      <c r="I257" s="859"/>
      <c r="J257" s="859"/>
      <c r="K257" s="859"/>
      <c r="L257" s="63"/>
      <c r="M257" s="63"/>
      <c r="W257" s="866"/>
      <c r="X257" s="868"/>
      <c r="Y257" s="868"/>
      <c r="Z257" s="866"/>
      <c r="AA257" s="866"/>
      <c r="AB257" s="868"/>
      <c r="AC257" s="868"/>
    </row>
    <row r="258" spans="1:29" hidden="1" x14ac:dyDescent="0.25">
      <c r="A258" s="65"/>
      <c r="B258" s="65"/>
      <c r="C258" s="880"/>
      <c r="D258" s="880"/>
      <c r="E258" s="880"/>
      <c r="F258" s="880"/>
      <c r="G258" s="880"/>
      <c r="H258" s="880"/>
      <c r="I258" s="880"/>
      <c r="J258" s="880"/>
      <c r="K258" s="880"/>
      <c r="L258" s="13"/>
      <c r="M258" s="13"/>
      <c r="W258" s="866"/>
      <c r="X258" s="868"/>
      <c r="Y258" s="868"/>
      <c r="Z258" s="866"/>
      <c r="AA258" s="866"/>
      <c r="AB258" s="868"/>
      <c r="AC258" s="868"/>
    </row>
    <row r="259" spans="1:29" hidden="1" x14ac:dyDescent="0.25">
      <c r="A259" s="72" t="s">
        <v>63</v>
      </c>
      <c r="B259" s="881"/>
      <c r="C259" s="880"/>
      <c r="D259" s="79" t="s">
        <v>64</v>
      </c>
      <c r="E259" s="880"/>
      <c r="F259" s="880"/>
      <c r="G259" s="880"/>
      <c r="H259" s="880"/>
      <c r="I259" s="80" t="s">
        <v>286</v>
      </c>
      <c r="J259" s="880"/>
      <c r="K259" s="880"/>
      <c r="L259" s="13"/>
      <c r="M259" s="13"/>
      <c r="W259" s="866"/>
      <c r="X259" s="868"/>
      <c r="Y259" s="868"/>
      <c r="Z259" s="866"/>
      <c r="AA259" s="866"/>
      <c r="AB259" s="868"/>
      <c r="AC259" s="868"/>
    </row>
    <row r="260" spans="1:29" hidden="1" x14ac:dyDescent="0.25">
      <c r="A260" s="881" t="s">
        <v>59</v>
      </c>
      <c r="B260" s="881"/>
      <c r="C260" s="880"/>
      <c r="D260" s="84">
        <v>0</v>
      </c>
      <c r="E260" s="880"/>
      <c r="F260" s="880"/>
      <c r="G260" s="880"/>
      <c r="H260" s="880"/>
      <c r="I260" s="71" t="s">
        <v>60</v>
      </c>
      <c r="J260" s="880"/>
      <c r="K260" s="880"/>
      <c r="L260" s="13"/>
      <c r="M260" s="13"/>
      <c r="W260" s="866"/>
      <c r="X260" s="868"/>
      <c r="Y260" s="868"/>
      <c r="Z260" s="866"/>
      <c r="AA260" s="866"/>
      <c r="AB260" s="868"/>
      <c r="AC260" s="868"/>
    </row>
    <row r="261" spans="1:29" hidden="1" x14ac:dyDescent="0.25">
      <c r="A261" s="881" t="s">
        <v>60</v>
      </c>
      <c r="B261" s="881"/>
      <c r="C261" s="880"/>
      <c r="D261" s="87">
        <v>25000</v>
      </c>
      <c r="E261" s="880"/>
      <c r="F261" s="880"/>
      <c r="G261" s="880"/>
      <c r="H261" s="880"/>
      <c r="I261" s="71" t="s">
        <v>59</v>
      </c>
      <c r="J261" s="880"/>
      <c r="K261" s="880"/>
      <c r="L261" s="13"/>
      <c r="M261" s="13"/>
      <c r="W261" s="866"/>
      <c r="X261" s="868"/>
      <c r="Y261" s="868"/>
      <c r="Z261" s="866"/>
      <c r="AA261" s="866"/>
      <c r="AB261" s="868"/>
      <c r="AC261" s="868"/>
    </row>
    <row r="262" spans="1:29" hidden="1" x14ac:dyDescent="0.25">
      <c r="A262" s="880"/>
      <c r="B262" s="880"/>
      <c r="C262" s="880"/>
      <c r="D262" s="87">
        <v>50000</v>
      </c>
      <c r="E262" s="70"/>
      <c r="F262" s="70"/>
      <c r="G262" s="70"/>
      <c r="H262" s="880"/>
      <c r="I262" s="880"/>
      <c r="J262" s="880"/>
      <c r="K262" s="880"/>
      <c r="L262" s="13"/>
      <c r="M262" s="13"/>
      <c r="W262" s="866"/>
      <c r="X262" s="868"/>
      <c r="Y262" s="868"/>
      <c r="Z262" s="866"/>
      <c r="AA262" s="866"/>
      <c r="AB262" s="868"/>
      <c r="AC262" s="868"/>
    </row>
    <row r="263" spans="1:29" hidden="1" x14ac:dyDescent="0.25">
      <c r="A263" s="880"/>
      <c r="B263" s="880"/>
      <c r="C263" s="880"/>
      <c r="D263" s="87">
        <v>75000</v>
      </c>
      <c r="E263" s="70"/>
      <c r="F263" s="70"/>
      <c r="G263" s="70"/>
      <c r="H263" s="880"/>
      <c r="I263" s="880"/>
      <c r="J263" s="880"/>
      <c r="K263" s="880"/>
      <c r="L263" s="13"/>
      <c r="M263" s="13"/>
      <c r="W263" s="866"/>
      <c r="X263" s="868"/>
      <c r="Y263" s="868"/>
      <c r="Z263" s="866"/>
      <c r="AA263" s="866"/>
      <c r="AB263" s="868"/>
      <c r="AC263" s="868"/>
    </row>
    <row r="264" spans="1:29" hidden="1" x14ac:dyDescent="0.25">
      <c r="A264" s="880"/>
      <c r="B264" s="880"/>
      <c r="C264" s="880"/>
      <c r="D264" s="87">
        <v>100000</v>
      </c>
      <c r="E264" s="70"/>
      <c r="F264" s="70"/>
      <c r="G264" s="70"/>
      <c r="H264" s="880"/>
      <c r="I264" s="880"/>
      <c r="J264" s="880"/>
      <c r="K264" s="880"/>
      <c r="L264" s="13"/>
      <c r="M264" s="13"/>
      <c r="W264" s="866"/>
      <c r="X264" s="868"/>
      <c r="Y264" s="868"/>
      <c r="Z264" s="866"/>
      <c r="AA264" s="866"/>
      <c r="AB264" s="868"/>
      <c r="AC264" s="868"/>
    </row>
    <row r="265" spans="1:29" hidden="1" x14ac:dyDescent="0.25">
      <c r="A265" s="880"/>
      <c r="B265" s="880"/>
      <c r="C265" s="880"/>
      <c r="D265" s="87">
        <v>125000</v>
      </c>
      <c r="E265" s="70"/>
      <c r="F265" s="70"/>
      <c r="G265" s="70"/>
      <c r="H265" s="880"/>
      <c r="I265" s="880"/>
      <c r="J265" s="880"/>
      <c r="K265" s="880"/>
      <c r="L265" s="13"/>
      <c r="M265" s="13"/>
      <c r="W265" s="866"/>
      <c r="X265" s="868"/>
      <c r="Y265" s="868"/>
      <c r="Z265" s="866"/>
      <c r="AA265" s="866"/>
      <c r="AB265" s="868"/>
      <c r="AC265" s="868"/>
    </row>
    <row r="266" spans="1:29" hidden="1" x14ac:dyDescent="0.25">
      <c r="A266" s="65"/>
      <c r="B266" s="880"/>
      <c r="C266" s="880"/>
      <c r="D266" s="87">
        <v>150000</v>
      </c>
      <c r="E266" s="70"/>
      <c r="F266" s="70"/>
      <c r="G266" s="70"/>
      <c r="H266" s="880"/>
      <c r="I266" s="880"/>
      <c r="J266" s="880"/>
      <c r="K266" s="880"/>
      <c r="L266" s="13"/>
      <c r="M266" s="13"/>
      <c r="W266" s="866"/>
      <c r="X266" s="868"/>
      <c r="Y266" s="868"/>
      <c r="Z266" s="866"/>
      <c r="AA266" s="866"/>
      <c r="AB266" s="868"/>
      <c r="AC266" s="868"/>
    </row>
    <row r="267" spans="1:29" hidden="1" x14ac:dyDescent="0.25">
      <c r="A267" s="880"/>
      <c r="B267" s="880"/>
      <c r="C267" s="880"/>
      <c r="D267" s="87">
        <v>175000</v>
      </c>
      <c r="E267" s="70"/>
      <c r="F267" s="70"/>
      <c r="G267" s="70"/>
      <c r="H267" s="880"/>
      <c r="I267" s="880"/>
      <c r="J267" s="880"/>
      <c r="K267" s="880"/>
      <c r="L267" s="13"/>
      <c r="M267" s="13"/>
      <c r="W267" s="866"/>
      <c r="X267" s="868"/>
      <c r="Y267" s="868"/>
      <c r="Z267" s="866"/>
      <c r="AA267" s="866"/>
      <c r="AB267" s="868"/>
      <c r="AC267" s="868"/>
    </row>
    <row r="268" spans="1:29" hidden="1" x14ac:dyDescent="0.25">
      <c r="A268" s="880"/>
      <c r="B268" s="880"/>
      <c r="C268" s="880"/>
      <c r="D268" s="87">
        <v>200000</v>
      </c>
      <c r="E268" s="70"/>
      <c r="F268" s="70"/>
      <c r="G268" s="70"/>
      <c r="H268" s="880"/>
      <c r="I268" s="880"/>
      <c r="J268" s="880"/>
      <c r="K268" s="880"/>
      <c r="L268" s="13"/>
      <c r="M268" s="13"/>
      <c r="W268" s="866"/>
      <c r="X268" s="868"/>
      <c r="Y268" s="868"/>
      <c r="Z268" s="866"/>
      <c r="AA268" s="866"/>
      <c r="AB268" s="868"/>
      <c r="AC268" s="868"/>
    </row>
    <row r="269" spans="1:29" hidden="1" x14ac:dyDescent="0.25">
      <c r="A269" s="880"/>
      <c r="B269" s="880"/>
      <c r="C269" s="880"/>
      <c r="D269" s="87">
        <v>225000</v>
      </c>
      <c r="E269" s="70"/>
      <c r="F269" s="70"/>
      <c r="G269" s="70"/>
      <c r="H269" s="880"/>
      <c r="I269" s="880"/>
      <c r="J269" s="880"/>
      <c r="K269" s="880"/>
      <c r="L269" s="13"/>
      <c r="M269" s="13"/>
      <c r="W269" s="866"/>
      <c r="X269" s="868"/>
      <c r="Y269" s="868"/>
      <c r="Z269" s="866"/>
      <c r="AA269" s="866"/>
      <c r="AB269" s="868"/>
      <c r="AC269" s="868"/>
    </row>
    <row r="270" spans="1:29" hidden="1" x14ac:dyDescent="0.25">
      <c r="A270" s="880"/>
      <c r="B270" s="880"/>
      <c r="C270" s="880"/>
      <c r="D270" s="87">
        <v>250000</v>
      </c>
      <c r="E270" s="70"/>
      <c r="F270" s="70"/>
      <c r="G270" s="70"/>
      <c r="H270" s="880"/>
      <c r="I270" s="880"/>
      <c r="J270" s="880"/>
      <c r="K270" s="880"/>
      <c r="L270" s="13"/>
      <c r="M270" s="13"/>
      <c r="W270" s="866"/>
      <c r="X270" s="868"/>
      <c r="Y270" s="868"/>
      <c r="Z270" s="866"/>
      <c r="AA270" s="866"/>
      <c r="AB270" s="868"/>
      <c r="AC270" s="868"/>
    </row>
    <row r="271" spans="1:29" x14ac:dyDescent="0.25">
      <c r="A271" s="405"/>
      <c r="B271" s="866"/>
      <c r="C271" s="866"/>
      <c r="D271" s="866"/>
      <c r="E271" s="866"/>
      <c r="F271" s="866"/>
      <c r="G271" s="866"/>
      <c r="H271" s="866"/>
      <c r="I271" s="866"/>
      <c r="J271" s="866"/>
      <c r="K271" s="866"/>
      <c r="L271" s="13"/>
      <c r="M271" s="13"/>
      <c r="W271" s="866"/>
      <c r="X271" s="868"/>
      <c r="Y271" s="868"/>
      <c r="Z271" s="866"/>
      <c r="AA271" s="866"/>
      <c r="AB271" s="868"/>
      <c r="AC271" s="868"/>
    </row>
    <row r="272" spans="1:29" x14ac:dyDescent="0.25">
      <c r="A272" s="405"/>
      <c r="B272" s="866"/>
      <c r="C272" s="866"/>
      <c r="D272" s="866"/>
      <c r="E272" s="866"/>
      <c r="F272" s="866"/>
      <c r="G272" s="866"/>
      <c r="H272" s="866"/>
      <c r="I272" s="866"/>
      <c r="J272" s="866"/>
      <c r="K272" s="866"/>
      <c r="W272" s="866"/>
      <c r="X272" s="868"/>
      <c r="Y272" s="868"/>
      <c r="Z272" s="866"/>
      <c r="AA272" s="866"/>
      <c r="AB272" s="868"/>
      <c r="AC272" s="868"/>
    </row>
    <row r="273" spans="1:29" x14ac:dyDescent="0.25">
      <c r="A273" s="866"/>
      <c r="B273" s="866"/>
      <c r="C273" s="866"/>
      <c r="D273" s="866"/>
      <c r="E273" s="866"/>
      <c r="F273" s="866"/>
      <c r="G273" s="866"/>
      <c r="H273" s="866"/>
      <c r="I273" s="866"/>
      <c r="J273" s="866"/>
      <c r="K273" s="866"/>
      <c r="W273" s="866"/>
      <c r="X273" s="868"/>
      <c r="Y273" s="868"/>
      <c r="Z273" s="866"/>
      <c r="AA273" s="866"/>
      <c r="AB273" s="868"/>
      <c r="AC273" s="868"/>
    </row>
    <row r="274" spans="1:29" x14ac:dyDescent="0.25">
      <c r="A274" s="866"/>
      <c r="B274" s="866"/>
      <c r="C274" s="866"/>
      <c r="D274" s="478"/>
      <c r="E274" s="866"/>
      <c r="F274" s="866"/>
      <c r="G274" s="866"/>
      <c r="H274" s="866"/>
      <c r="I274" s="866"/>
      <c r="J274" s="866"/>
      <c r="K274" s="866"/>
      <c r="W274" s="866"/>
      <c r="X274" s="868"/>
      <c r="Y274" s="868"/>
      <c r="Z274" s="866"/>
      <c r="AA274" s="866"/>
      <c r="AB274" s="868"/>
      <c r="AC274" s="868"/>
    </row>
    <row r="275" spans="1:29" ht="15" x14ac:dyDescent="0.25">
      <c r="A275" s="479"/>
      <c r="B275" s="479"/>
      <c r="C275" s="480"/>
      <c r="D275" s="480"/>
      <c r="E275" s="480"/>
      <c r="F275" s="480"/>
      <c r="G275" s="480"/>
      <c r="H275" s="480"/>
      <c r="I275" s="866"/>
      <c r="J275" s="866"/>
      <c r="K275" s="866"/>
      <c r="W275" s="866"/>
      <c r="X275" s="868"/>
      <c r="Y275" s="868"/>
      <c r="Z275" s="866"/>
      <c r="AA275" s="866"/>
      <c r="AB275" s="868"/>
      <c r="AC275" s="868"/>
    </row>
    <row r="276" spans="1:29" x14ac:dyDescent="0.25">
      <c r="A276" s="403"/>
      <c r="B276" s="481"/>
      <c r="C276" s="480"/>
      <c r="D276" s="480"/>
      <c r="E276" s="480"/>
      <c r="F276" s="480"/>
      <c r="G276" s="482"/>
      <c r="H276" s="480"/>
      <c r="I276" s="866"/>
      <c r="J276" s="866"/>
      <c r="K276" s="866"/>
      <c r="W276" s="866"/>
      <c r="X276" s="868"/>
      <c r="Y276" s="868"/>
      <c r="Z276" s="866"/>
      <c r="AA276" s="866"/>
      <c r="AB276" s="868"/>
      <c r="AC276" s="868"/>
    </row>
    <row r="277" spans="1:29" x14ac:dyDescent="0.25">
      <c r="A277" s="403"/>
      <c r="B277" s="481"/>
      <c r="C277" s="480"/>
      <c r="D277" s="480"/>
      <c r="E277" s="480"/>
      <c r="F277" s="480"/>
      <c r="G277" s="481"/>
      <c r="H277" s="480"/>
      <c r="I277" s="866"/>
      <c r="J277" s="866"/>
      <c r="K277" s="866"/>
      <c r="W277" s="866"/>
      <c r="X277" s="868"/>
      <c r="Y277" s="868"/>
      <c r="Z277" s="866"/>
      <c r="AA277" s="866"/>
      <c r="AB277" s="868"/>
      <c r="AC277" s="868"/>
    </row>
    <row r="278" spans="1:29" x14ac:dyDescent="0.25">
      <c r="A278" s="403"/>
      <c r="B278" s="481"/>
      <c r="C278" s="480"/>
      <c r="D278" s="480"/>
      <c r="E278" s="480"/>
      <c r="F278" s="480"/>
      <c r="G278" s="482"/>
      <c r="H278" s="480"/>
      <c r="I278" s="866"/>
      <c r="J278" s="866"/>
      <c r="K278" s="866"/>
      <c r="W278" s="866"/>
      <c r="X278" s="868"/>
      <c r="Y278" s="868"/>
      <c r="Z278" s="866"/>
      <c r="AA278" s="866"/>
      <c r="AB278" s="868"/>
      <c r="AC278" s="868"/>
    </row>
    <row r="279" spans="1:29" x14ac:dyDescent="0.25">
      <c r="A279" s="481"/>
      <c r="B279" s="481"/>
      <c r="C279" s="480"/>
      <c r="D279" s="480"/>
      <c r="E279" s="480"/>
      <c r="F279" s="480"/>
      <c r="G279" s="483"/>
      <c r="H279" s="480"/>
      <c r="I279" s="866"/>
      <c r="J279" s="866"/>
      <c r="K279" s="866"/>
      <c r="W279" s="866"/>
      <c r="X279" s="868"/>
      <c r="Y279" s="868"/>
      <c r="Z279" s="866"/>
      <c r="AA279" s="866"/>
      <c r="AB279" s="868"/>
      <c r="AC279" s="868"/>
    </row>
    <row r="280" spans="1:29" x14ac:dyDescent="0.25">
      <c r="A280" s="403"/>
      <c r="B280" s="481"/>
      <c r="C280" s="480"/>
      <c r="D280" s="480"/>
      <c r="E280" s="480"/>
      <c r="F280" s="480"/>
      <c r="G280" s="480"/>
      <c r="H280" s="480"/>
      <c r="I280" s="866"/>
      <c r="J280" s="866"/>
      <c r="K280" s="866"/>
      <c r="W280" s="866"/>
      <c r="X280" s="868"/>
      <c r="Y280" s="868"/>
      <c r="Z280" s="866"/>
      <c r="AA280" s="866"/>
      <c r="AB280" s="868"/>
      <c r="AC280" s="868"/>
    </row>
    <row r="281" spans="1:29" x14ac:dyDescent="0.25">
      <c r="A281" s="403"/>
      <c r="B281" s="481"/>
      <c r="C281" s="480"/>
      <c r="D281" s="480"/>
      <c r="E281" s="480"/>
      <c r="F281" s="480"/>
      <c r="G281" s="482"/>
      <c r="H281" s="480"/>
      <c r="I281" s="866"/>
      <c r="J281" s="866"/>
      <c r="K281" s="866"/>
      <c r="W281" s="866"/>
      <c r="X281" s="868"/>
      <c r="Y281" s="868"/>
      <c r="Z281" s="866"/>
      <c r="AA281" s="866"/>
      <c r="AB281" s="868"/>
      <c r="AC281" s="868"/>
    </row>
    <row r="282" spans="1:29" x14ac:dyDescent="0.25">
      <c r="A282" s="403"/>
      <c r="B282" s="481"/>
      <c r="C282" s="480"/>
      <c r="D282" s="480"/>
      <c r="E282" s="480"/>
      <c r="F282" s="480"/>
      <c r="G282" s="481"/>
      <c r="H282" s="480"/>
      <c r="I282" s="866"/>
      <c r="J282" s="866"/>
      <c r="K282" s="866"/>
      <c r="W282" s="866"/>
      <c r="X282" s="868"/>
      <c r="Y282" s="868"/>
      <c r="Z282" s="866"/>
      <c r="AA282" s="866"/>
      <c r="AB282" s="868"/>
      <c r="AC282" s="868"/>
    </row>
    <row r="283" spans="1:29" x14ac:dyDescent="0.25">
      <c r="A283" s="403"/>
      <c r="B283" s="481"/>
      <c r="C283" s="480"/>
      <c r="D283" s="480"/>
      <c r="E283" s="480"/>
      <c r="F283" s="480"/>
      <c r="G283" s="482"/>
      <c r="H283" s="483"/>
      <c r="I283" s="866"/>
      <c r="J283" s="866"/>
      <c r="K283" s="866"/>
      <c r="W283" s="866"/>
      <c r="X283" s="868"/>
      <c r="Y283" s="868"/>
      <c r="Z283" s="866"/>
      <c r="AA283" s="866"/>
      <c r="AB283" s="868"/>
      <c r="AC283" s="868"/>
    </row>
    <row r="284" spans="1:29" x14ac:dyDescent="0.25">
      <c r="A284" s="481"/>
      <c r="B284" s="481"/>
      <c r="C284" s="480"/>
      <c r="D284" s="480"/>
      <c r="E284" s="480"/>
      <c r="F284" s="480"/>
      <c r="G284" s="483"/>
      <c r="H284" s="480"/>
      <c r="I284" s="866"/>
      <c r="J284" s="866"/>
      <c r="K284" s="866"/>
      <c r="W284" s="866"/>
      <c r="X284" s="868"/>
      <c r="Y284" s="868"/>
      <c r="Z284" s="866"/>
      <c r="AA284" s="866"/>
      <c r="AB284" s="868"/>
      <c r="AC284" s="868"/>
    </row>
    <row r="285" spans="1:29" x14ac:dyDescent="0.25">
      <c r="A285" s="403"/>
      <c r="B285" s="481"/>
      <c r="C285" s="480"/>
      <c r="D285" s="480"/>
      <c r="E285" s="480"/>
      <c r="F285" s="480"/>
      <c r="G285" s="480"/>
      <c r="H285" s="484"/>
      <c r="I285" s="866"/>
      <c r="J285" s="866"/>
      <c r="K285" s="866"/>
      <c r="W285" s="866"/>
      <c r="X285" s="868"/>
      <c r="Y285" s="868"/>
      <c r="Z285" s="866"/>
      <c r="AA285" s="866"/>
      <c r="AB285" s="868"/>
      <c r="AC285" s="868"/>
    </row>
    <row r="286" spans="1:29" x14ac:dyDescent="0.25">
      <c r="A286" s="485"/>
      <c r="B286" s="485"/>
      <c r="C286" s="480"/>
      <c r="D286" s="480"/>
      <c r="E286" s="480"/>
      <c r="F286" s="480"/>
      <c r="G286" s="480"/>
      <c r="H286" s="480"/>
      <c r="I286" s="866"/>
      <c r="J286" s="866"/>
      <c r="K286" s="866"/>
      <c r="W286" s="866"/>
      <c r="X286" s="868"/>
      <c r="Y286" s="868"/>
      <c r="Z286" s="866"/>
      <c r="AA286" s="866"/>
      <c r="AB286" s="868"/>
      <c r="AC286" s="868"/>
    </row>
    <row r="287" spans="1:29" x14ac:dyDescent="0.25">
      <c r="A287" s="403"/>
      <c r="B287" s="481"/>
      <c r="C287" s="480"/>
      <c r="D287" s="480"/>
      <c r="E287" s="480"/>
      <c r="F287" s="480"/>
      <c r="G287" s="480"/>
      <c r="H287" s="480"/>
      <c r="I287" s="866"/>
      <c r="J287" s="866"/>
      <c r="K287" s="866"/>
      <c r="W287" s="866"/>
      <c r="X287" s="868"/>
      <c r="Y287" s="868"/>
      <c r="Z287" s="866"/>
      <c r="AA287" s="866"/>
      <c r="AB287" s="868"/>
      <c r="AC287" s="868"/>
    </row>
    <row r="288" spans="1:29" x14ac:dyDescent="0.25">
      <c r="A288" s="481"/>
      <c r="B288" s="481"/>
      <c r="C288" s="480"/>
      <c r="D288" s="480"/>
      <c r="E288" s="480"/>
      <c r="F288" s="480"/>
      <c r="G288" s="480"/>
      <c r="H288" s="484"/>
      <c r="I288" s="866"/>
      <c r="J288" s="866"/>
      <c r="K288" s="866"/>
      <c r="W288" s="866"/>
      <c r="X288" s="868"/>
      <c r="Y288" s="868"/>
      <c r="Z288" s="866"/>
      <c r="AA288" s="866"/>
      <c r="AB288" s="868"/>
      <c r="AC288" s="868"/>
    </row>
    <row r="289" spans="1:29" x14ac:dyDescent="0.25">
      <c r="A289" s="486"/>
      <c r="B289" s="486"/>
      <c r="C289" s="480"/>
      <c r="D289" s="480"/>
      <c r="E289" s="480"/>
      <c r="F289" s="480"/>
      <c r="G289" s="480"/>
      <c r="H289" s="484"/>
      <c r="I289" s="866"/>
      <c r="J289" s="866"/>
      <c r="K289" s="866"/>
      <c r="W289" s="866"/>
      <c r="X289" s="868"/>
      <c r="Y289" s="868"/>
      <c r="Z289" s="866"/>
      <c r="AA289" s="866"/>
      <c r="AB289" s="868"/>
      <c r="AC289" s="868"/>
    </row>
    <row r="290" spans="1:29" x14ac:dyDescent="0.25">
      <c r="A290" s="405"/>
      <c r="B290" s="405"/>
      <c r="C290" s="866"/>
      <c r="D290" s="866"/>
      <c r="E290" s="866"/>
      <c r="F290" s="866"/>
      <c r="G290" s="866"/>
      <c r="H290" s="866"/>
      <c r="I290" s="866"/>
      <c r="J290" s="866"/>
      <c r="K290" s="866"/>
      <c r="W290" s="866"/>
      <c r="X290" s="868"/>
      <c r="Y290" s="868"/>
      <c r="Z290" s="866"/>
      <c r="AA290" s="866"/>
      <c r="AB290" s="868"/>
      <c r="AC290" s="868"/>
    </row>
    <row r="291" spans="1:29" x14ac:dyDescent="0.25">
      <c r="A291" s="405"/>
      <c r="B291" s="405"/>
      <c r="C291" s="866"/>
      <c r="D291" s="866"/>
      <c r="E291" s="866"/>
      <c r="F291" s="866"/>
      <c r="G291" s="866"/>
      <c r="H291" s="866"/>
      <c r="I291" s="866"/>
      <c r="J291" s="866"/>
      <c r="K291" s="866"/>
      <c r="W291" s="866"/>
      <c r="X291" s="868"/>
      <c r="Y291" s="868"/>
      <c r="Z291" s="866"/>
      <c r="AA291" s="866"/>
      <c r="AB291" s="868"/>
      <c r="AC291" s="868"/>
    </row>
    <row r="292" spans="1:29" x14ac:dyDescent="0.25">
      <c r="A292" s="405"/>
      <c r="B292" s="405"/>
      <c r="C292" s="866"/>
      <c r="D292" s="866"/>
      <c r="E292" s="866"/>
      <c r="F292" s="866"/>
      <c r="G292" s="866"/>
      <c r="H292" s="866"/>
      <c r="I292" s="866"/>
      <c r="J292" s="866"/>
      <c r="K292" s="866"/>
      <c r="W292" s="866"/>
      <c r="X292" s="868"/>
      <c r="Y292" s="868"/>
      <c r="Z292" s="866"/>
      <c r="AA292" s="866"/>
      <c r="AB292" s="868"/>
      <c r="AC292" s="868"/>
    </row>
    <row r="293" spans="1:29" x14ac:dyDescent="0.25">
      <c r="A293" s="405"/>
      <c r="B293" s="405"/>
      <c r="C293" s="866"/>
      <c r="D293" s="866"/>
      <c r="E293" s="866"/>
      <c r="F293" s="866"/>
      <c r="G293" s="866"/>
      <c r="H293" s="866"/>
      <c r="I293" s="866"/>
      <c r="J293" s="866"/>
      <c r="K293" s="866"/>
      <c r="W293" s="866"/>
      <c r="X293" s="868"/>
      <c r="Y293" s="868"/>
      <c r="Z293" s="866"/>
      <c r="AA293" s="866"/>
      <c r="AB293" s="868"/>
      <c r="AC293" s="868"/>
    </row>
    <row r="294" spans="1:29" x14ac:dyDescent="0.25">
      <c r="A294" s="405"/>
      <c r="B294" s="405"/>
      <c r="C294" s="866"/>
      <c r="D294" s="866"/>
      <c r="E294" s="866"/>
      <c r="F294" s="866"/>
      <c r="G294" s="866"/>
      <c r="H294" s="866"/>
      <c r="I294" s="866"/>
      <c r="J294" s="866"/>
      <c r="K294" s="866"/>
      <c r="W294" s="866"/>
      <c r="X294" s="868"/>
      <c r="Y294" s="868"/>
      <c r="Z294" s="866"/>
      <c r="AA294" s="866"/>
      <c r="AB294" s="868"/>
      <c r="AC294" s="868"/>
    </row>
    <row r="295" spans="1:29" x14ac:dyDescent="0.25">
      <c r="A295" s="405"/>
      <c r="B295" s="405"/>
      <c r="C295" s="866"/>
      <c r="D295" s="866"/>
      <c r="E295" s="866"/>
      <c r="F295" s="866"/>
      <c r="G295" s="866"/>
      <c r="H295" s="866"/>
      <c r="I295" s="866"/>
      <c r="J295" s="866"/>
      <c r="K295" s="866"/>
      <c r="W295" s="866"/>
      <c r="X295" s="868"/>
      <c r="Y295" s="868"/>
      <c r="Z295" s="866"/>
      <c r="AA295" s="866"/>
      <c r="AB295" s="868"/>
      <c r="AC295" s="868"/>
    </row>
    <row r="296" spans="1:29" x14ac:dyDescent="0.25">
      <c r="A296" s="405"/>
      <c r="B296" s="405"/>
      <c r="C296" s="866"/>
      <c r="D296" s="866"/>
      <c r="E296" s="866"/>
      <c r="F296" s="866"/>
      <c r="G296" s="866"/>
      <c r="H296" s="866"/>
      <c r="I296" s="866"/>
      <c r="J296" s="866"/>
      <c r="K296" s="866"/>
      <c r="W296" s="866"/>
      <c r="X296" s="868"/>
      <c r="Y296" s="868"/>
      <c r="Z296" s="866"/>
      <c r="AA296" s="866"/>
      <c r="AB296" s="868"/>
      <c r="AC296" s="868"/>
    </row>
    <row r="297" spans="1:29" x14ac:dyDescent="0.25">
      <c r="A297" s="405"/>
      <c r="B297" s="405"/>
      <c r="C297" s="866"/>
      <c r="D297" s="866"/>
      <c r="E297" s="866"/>
      <c r="F297" s="866"/>
      <c r="G297" s="866"/>
      <c r="H297" s="866"/>
      <c r="I297" s="866"/>
      <c r="J297" s="866"/>
      <c r="K297" s="866"/>
      <c r="W297" s="866"/>
      <c r="X297" s="868"/>
      <c r="Y297" s="868"/>
      <c r="Z297" s="866"/>
      <c r="AA297" s="866"/>
      <c r="AB297" s="868"/>
      <c r="AC297" s="868"/>
    </row>
    <row r="298" spans="1:29" x14ac:dyDescent="0.25">
      <c r="A298" s="405"/>
      <c r="B298" s="405"/>
      <c r="C298" s="866"/>
      <c r="D298" s="866"/>
      <c r="E298" s="866"/>
      <c r="F298" s="866"/>
      <c r="G298" s="866"/>
      <c r="H298" s="866"/>
      <c r="I298" s="866"/>
      <c r="J298" s="866"/>
      <c r="K298" s="866"/>
      <c r="W298" s="866"/>
      <c r="X298" s="868"/>
      <c r="Y298" s="868"/>
      <c r="Z298" s="866"/>
      <c r="AA298" s="866"/>
      <c r="AB298" s="868"/>
      <c r="AC298" s="868"/>
    </row>
    <row r="299" spans="1:29" x14ac:dyDescent="0.25">
      <c r="A299" s="405"/>
      <c r="B299" s="405"/>
      <c r="C299" s="866"/>
      <c r="D299" s="866"/>
      <c r="E299" s="866"/>
      <c r="F299" s="866"/>
      <c r="G299" s="866"/>
      <c r="H299" s="866"/>
      <c r="I299" s="866"/>
      <c r="J299" s="866"/>
      <c r="K299" s="866"/>
      <c r="W299" s="866"/>
      <c r="X299" s="868"/>
      <c r="Y299" s="868"/>
      <c r="Z299" s="866"/>
      <c r="AA299" s="866"/>
      <c r="AB299" s="868"/>
      <c r="AC299" s="868"/>
    </row>
    <row r="300" spans="1:29" x14ac:dyDescent="0.25">
      <c r="A300" s="405"/>
      <c r="B300" s="405"/>
      <c r="C300" s="866"/>
      <c r="D300" s="866"/>
      <c r="E300" s="866"/>
      <c r="F300" s="866"/>
      <c r="G300" s="866"/>
      <c r="H300" s="866"/>
      <c r="I300" s="866"/>
      <c r="J300" s="866"/>
      <c r="K300" s="866"/>
      <c r="W300" s="866"/>
      <c r="X300" s="868"/>
      <c r="Y300" s="868"/>
      <c r="Z300" s="866"/>
      <c r="AA300" s="866"/>
      <c r="AB300" s="868"/>
      <c r="AC300" s="868"/>
    </row>
    <row r="301" spans="1:29" x14ac:dyDescent="0.25">
      <c r="A301" s="405"/>
      <c r="B301" s="405"/>
      <c r="C301" s="866"/>
      <c r="D301" s="866"/>
      <c r="E301" s="866"/>
      <c r="F301" s="866"/>
      <c r="G301" s="866"/>
      <c r="H301" s="866"/>
      <c r="I301" s="866"/>
      <c r="J301" s="866"/>
      <c r="K301" s="866"/>
      <c r="W301" s="866"/>
      <c r="X301" s="868"/>
      <c r="Y301" s="868"/>
      <c r="Z301" s="866"/>
      <c r="AA301" s="866"/>
      <c r="AB301" s="868"/>
      <c r="AC301" s="868"/>
    </row>
    <row r="302" spans="1:29" x14ac:dyDescent="0.25">
      <c r="A302" s="405"/>
      <c r="B302" s="405"/>
      <c r="C302" s="866"/>
      <c r="D302" s="866"/>
      <c r="E302" s="866"/>
      <c r="F302" s="866"/>
      <c r="G302" s="866"/>
      <c r="H302" s="866"/>
      <c r="I302" s="866"/>
      <c r="J302" s="866"/>
      <c r="K302" s="866"/>
      <c r="W302" s="866"/>
      <c r="X302" s="868"/>
      <c r="Y302" s="868"/>
      <c r="Z302" s="866"/>
      <c r="AA302" s="866"/>
      <c r="AB302" s="868"/>
      <c r="AC302" s="868"/>
    </row>
    <row r="303" spans="1:29" x14ac:dyDescent="0.25">
      <c r="A303" s="405"/>
      <c r="B303" s="405"/>
      <c r="C303" s="866"/>
      <c r="D303" s="866"/>
      <c r="E303" s="866"/>
      <c r="F303" s="866"/>
      <c r="G303" s="866"/>
      <c r="H303" s="866"/>
      <c r="I303" s="866"/>
      <c r="J303" s="866"/>
      <c r="K303" s="866"/>
      <c r="W303" s="866"/>
      <c r="X303" s="868"/>
      <c r="Y303" s="868"/>
      <c r="Z303" s="866"/>
      <c r="AA303" s="866"/>
      <c r="AB303" s="868"/>
      <c r="AC303" s="868"/>
    </row>
    <row r="304" spans="1:29" x14ac:dyDescent="0.25">
      <c r="A304" s="405"/>
      <c r="B304" s="405"/>
      <c r="C304" s="866"/>
      <c r="D304" s="866"/>
      <c r="E304" s="866"/>
      <c r="F304" s="866"/>
      <c r="G304" s="866"/>
      <c r="H304" s="866"/>
      <c r="I304" s="866"/>
      <c r="J304" s="866"/>
      <c r="K304" s="866"/>
      <c r="W304" s="866"/>
      <c r="X304" s="868"/>
      <c r="Y304" s="868"/>
      <c r="Z304" s="866"/>
      <c r="AA304" s="866"/>
      <c r="AB304" s="868"/>
      <c r="AC304" s="868"/>
    </row>
    <row r="305" spans="1:29" x14ac:dyDescent="0.25">
      <c r="A305" s="405"/>
      <c r="B305" s="405"/>
      <c r="C305" s="866"/>
      <c r="D305" s="866"/>
      <c r="E305" s="866"/>
      <c r="F305" s="866"/>
      <c r="G305" s="866"/>
      <c r="H305" s="866"/>
      <c r="I305" s="866"/>
      <c r="J305" s="866"/>
      <c r="K305" s="866"/>
      <c r="W305" s="866"/>
      <c r="X305" s="868"/>
      <c r="Y305" s="868"/>
      <c r="Z305" s="866"/>
      <c r="AA305" s="866"/>
      <c r="AB305" s="868"/>
      <c r="AC305" s="868"/>
    </row>
    <row r="306" spans="1:29" x14ac:dyDescent="0.25">
      <c r="A306" s="405"/>
      <c r="B306" s="405"/>
      <c r="C306" s="866"/>
      <c r="D306" s="866"/>
      <c r="E306" s="866"/>
      <c r="F306" s="866"/>
      <c r="G306" s="866"/>
      <c r="H306" s="866"/>
      <c r="I306" s="866"/>
      <c r="J306" s="866"/>
      <c r="K306" s="866"/>
      <c r="W306" s="866"/>
      <c r="X306" s="868"/>
      <c r="Y306" s="868"/>
      <c r="Z306" s="866"/>
      <c r="AA306" s="866"/>
      <c r="AB306" s="868"/>
      <c r="AC306" s="868"/>
    </row>
    <row r="307" spans="1:29" x14ac:dyDescent="0.25">
      <c r="A307" s="405"/>
      <c r="B307" s="405"/>
      <c r="C307" s="866"/>
      <c r="D307" s="866"/>
      <c r="E307" s="866"/>
      <c r="F307" s="866"/>
      <c r="G307" s="866"/>
      <c r="H307" s="866"/>
      <c r="I307" s="866"/>
      <c r="J307" s="866"/>
      <c r="K307" s="866"/>
      <c r="W307" s="866"/>
      <c r="X307" s="868"/>
      <c r="Y307" s="868"/>
      <c r="Z307" s="866"/>
      <c r="AA307" s="866"/>
      <c r="AB307" s="868"/>
      <c r="AC307" s="868"/>
    </row>
  </sheetData>
  <sheetProtection password="EC4C" sheet="1" objects="1" scenarios="1" formatCells="0" formatColumns="0" formatRows="0" insertColumns="0" insertRows="0" insertHyperlinks="0" selectLockedCells="1" sort="0" autoFilter="0" pivotTables="0"/>
  <mergeCells count="36">
    <mergeCell ref="B8:E8"/>
    <mergeCell ref="B9:D9"/>
    <mergeCell ref="B10:G10"/>
    <mergeCell ref="B11:D11"/>
    <mergeCell ref="B12:C12"/>
    <mergeCell ref="L13:N13"/>
    <mergeCell ref="P13:U13"/>
    <mergeCell ref="B14:C14"/>
    <mergeCell ref="M14:M18"/>
    <mergeCell ref="S14:S18"/>
    <mergeCell ref="T14:T18"/>
    <mergeCell ref="D18:E18"/>
    <mergeCell ref="F18:G18"/>
    <mergeCell ref="B13:C13"/>
    <mergeCell ref="W14:AC15"/>
    <mergeCell ref="AE14:AF14"/>
    <mergeCell ref="AH14:AI14"/>
    <mergeCell ref="AK14:AL14"/>
    <mergeCell ref="I15:K15"/>
    <mergeCell ref="P15:P18"/>
    <mergeCell ref="Q15:Q18"/>
    <mergeCell ref="R15:R18"/>
    <mergeCell ref="L16:L18"/>
    <mergeCell ref="AE19:AF19"/>
    <mergeCell ref="AH19:AI19"/>
    <mergeCell ref="AK19:AM19"/>
    <mergeCell ref="W36:Y36"/>
    <mergeCell ref="AA36:AC36"/>
    <mergeCell ref="AE36:AF36"/>
    <mergeCell ref="AH36:AI36"/>
    <mergeCell ref="AK36:AM36"/>
    <mergeCell ref="W56:X56"/>
    <mergeCell ref="AA56:AC56"/>
    <mergeCell ref="W65:X65"/>
    <mergeCell ref="AA65:AC65"/>
    <mergeCell ref="AA19:AC19"/>
  </mergeCells>
  <dataValidations count="13">
    <dataValidation type="list" allowBlank="1" showInputMessage="1" showErrorMessage="1" promptTitle="K award?" prompt="Answer &quot;No&quot; if this is a K award.  _x000a__x000a_Answer &quot;Yes&quot; if there is a K awardee on your budget where the funding source is federal.  Example: NIH R01 grant with a K awardee as a co-investigator." sqref="M20">
      <formula1>$A$260:$A$261</formula1>
    </dataValidation>
    <dataValidation type="list" allowBlank="1" showInputMessage="1" showErrorMessage="1" promptTitle="Not Sure?" prompt="Assume Yes unless otherwise specified in the agency's instructions." sqref="I216">
      <formula1>$A$260:$A$261</formula1>
    </dataValidation>
    <dataValidation type="list" allowBlank="1" showInputMessage="1" showErrorMessage="1" sqref="C170 M21:M27 G185 E129 E219 E117 E243 I226 C136 I188 G249 H179 P20:P27 J189">
      <formula1>$A$260:$A$261</formula1>
    </dataValidation>
    <dataValidation type="list" allowBlank="1" showInputMessage="1" showErrorMessage="1" sqref="I94">
      <formula1>$J$197:$J$200</formula1>
    </dataValidation>
    <dataValidation type="list" allowBlank="1" showInputMessage="1" showErrorMessage="1" sqref="I90">
      <formula1>$J$192:$J$195</formula1>
    </dataValidation>
    <dataValidation type="list" allowBlank="1" showInputMessage="1" showErrorMessage="1" sqref="K85">
      <formula1>$D$260:$D$270</formula1>
    </dataValidation>
    <dataValidation type="list" allowBlank="1" showInputMessage="1" showErrorMessage="1" sqref="F127">
      <formula1>$F$121:$F$126</formula1>
    </dataValidation>
    <dataValidation type="list" allowBlank="1" showInputMessage="1" showErrorMessage="1" sqref="I102">
      <formula1>$J$228:$J$241</formula1>
    </dataValidation>
    <dataValidation allowBlank="1" showInputMessage="1" showErrorMessage="1" promptTitle="Don't enter fringe rate here!" prompt="Answer qs below._x000a__x000a_" sqref="I20:I27"/>
    <dataValidation allowBlank="1" showInputMessage="1" showErrorMessage="1" promptTitle="Confused?" prompt="Do not confuse the FRINGE BENEFIT RATE with the F&amp;A Rate.  This question is about fringe benefits." sqref="J217"/>
    <dataValidation type="list" allowBlank="1" showInputMessage="1" showErrorMessage="1" sqref="E140">
      <formula1>$J$142:$J$167</formula1>
    </dataValidation>
    <dataValidation type="list" allowBlank="1" showInputMessage="1" showErrorMessage="1" sqref="H120:H123">
      <formula1>Subwardsq</formula1>
    </dataValidation>
    <dataValidation type="list" allowBlank="1" showInputMessage="1" showErrorMessage="1" promptTitle="Note about subawards - " prompt="If you are a subaward on another institution's grant AND the PI requested a modular budget, answer Yes._x000a__x000a_If you are a subaward on another institiuton's grant AND the PI did not request a modular budget, answer No._x000a_" sqref="C113">
      <formula1>Modular_Rounding_Feature</formula1>
    </dataValidation>
  </dataValidations>
  <hyperlinks>
    <hyperlink ref="K129" r:id="rId1"/>
    <hyperlink ref="K249" r:id="rId2"/>
    <hyperlink ref="K250" r:id="rId3"/>
  </hyperlinks>
  <pageMargins left="0.25" right="0.25" top="0.25" bottom="0.25" header="0" footer="0"/>
  <pageSetup scale="43" orientation="portrait" horizontalDpi="1200" verticalDpi="1200" r:id="rId4"/>
  <headerFooter alignWithMargins="0"/>
  <drawing r:id="rId5"/>
  <legacyDrawing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322"/>
  <sheetViews>
    <sheetView zoomScale="75" zoomScaleNormal="75" workbookViewId="0">
      <selection activeCell="H33" sqref="H33"/>
    </sheetView>
  </sheetViews>
  <sheetFormatPr defaultColWidth="8.88671875" defaultRowHeight="13.8" x14ac:dyDescent="0.25"/>
  <cols>
    <col min="1" max="1" width="26.33203125" style="3" customWidth="1"/>
    <col min="2" max="2" width="25.33203125" style="3" customWidth="1"/>
    <col min="3" max="3" width="14.88671875" style="867" customWidth="1"/>
    <col min="4" max="4" width="10.44140625" style="867" customWidth="1"/>
    <col min="5" max="5" width="12" style="867" customWidth="1"/>
    <col min="6" max="7" width="10.44140625" style="867" customWidth="1"/>
    <col min="8" max="8" width="16.33203125" style="867" customWidth="1"/>
    <col min="9" max="9" width="16.44140625" style="867" customWidth="1"/>
    <col min="10" max="10" width="18.6640625" style="867" customWidth="1"/>
    <col min="11" max="11" width="24.88671875" style="867" customWidth="1"/>
    <col min="12" max="12" width="10" style="13" hidden="1" customWidth="1"/>
    <col min="13" max="13" width="7.6640625" style="13" hidden="1" customWidth="1"/>
    <col min="14" max="14" width="8" style="867" customWidth="1"/>
    <col min="15" max="15" width="9.44140625" style="867" customWidth="1"/>
    <col min="16" max="16" width="11.6640625" style="867" customWidth="1"/>
    <col min="17" max="17" width="1.44140625" style="867" customWidth="1"/>
    <col min="18" max="18" width="7.6640625" style="867" customWidth="1"/>
    <col min="19" max="19" width="7.44140625" style="867" hidden="1" customWidth="1"/>
    <col min="20" max="20" width="9.44140625" style="867" hidden="1" customWidth="1"/>
    <col min="21" max="21" width="8" style="867" customWidth="1"/>
    <col min="22" max="22" width="9.109375" style="867" customWidth="1"/>
    <col min="23" max="23" width="7.44140625" style="867" customWidth="1"/>
    <col min="24" max="24" width="2.88671875" style="867" customWidth="1"/>
    <col min="25" max="25" width="14.109375" style="867" customWidth="1"/>
    <col min="26" max="26" width="11.88671875" style="873" customWidth="1"/>
    <col min="27" max="27" width="10.88671875" style="873" customWidth="1"/>
    <col min="28" max="28" width="1.6640625" style="867" customWidth="1"/>
    <col min="29" max="29" width="13.109375" style="867" customWidth="1"/>
    <col min="30" max="30" width="12.44140625" style="873" customWidth="1"/>
    <col min="31" max="31" width="12.33203125" style="873" customWidth="1"/>
    <col min="32" max="32" width="1" style="867" customWidth="1"/>
    <col min="33" max="33" width="10.109375" style="867" hidden="1" customWidth="1"/>
    <col min="34" max="34" width="8.88671875" style="867" hidden="1" customWidth="1"/>
    <col min="35" max="35" width="1.44140625" style="867" hidden="1" customWidth="1"/>
    <col min="36" max="36" width="10" style="867" hidden="1" customWidth="1"/>
    <col min="37" max="37" width="9.88671875" style="867" hidden="1" customWidth="1"/>
    <col min="38" max="38" width="1" style="867" hidden="1" customWidth="1"/>
    <col min="39" max="39" width="11" style="867" hidden="1" customWidth="1"/>
    <col min="40" max="40" width="10.88671875" style="867" hidden="1" customWidth="1"/>
    <col min="41" max="41" width="11.88671875" style="867" hidden="1" customWidth="1"/>
    <col min="42" max="42" width="10.33203125" style="867" customWidth="1"/>
    <col min="43" max="43" width="8.88671875" style="867" customWidth="1"/>
    <col min="44" max="16384" width="8.88671875" style="867"/>
  </cols>
  <sheetData>
    <row r="1" spans="1:78" x14ac:dyDescent="0.25">
      <c r="A1" s="863" t="s">
        <v>411</v>
      </c>
      <c r="B1" s="864"/>
      <c r="C1" s="865"/>
      <c r="D1" s="865"/>
      <c r="E1" s="865"/>
      <c r="F1" s="865"/>
      <c r="G1" s="865"/>
      <c r="H1" s="865"/>
      <c r="I1" s="865"/>
      <c r="J1" s="865"/>
      <c r="K1" s="865"/>
      <c r="L1" s="866"/>
      <c r="M1" s="866"/>
      <c r="N1" s="866"/>
      <c r="O1" s="866"/>
      <c r="P1" s="866"/>
      <c r="Q1" s="866"/>
      <c r="R1" s="866"/>
      <c r="S1" s="866"/>
      <c r="T1" s="866"/>
      <c r="U1" s="866"/>
      <c r="W1" s="866"/>
      <c r="X1" s="868"/>
      <c r="Y1" s="868"/>
      <c r="Z1" s="866"/>
      <c r="AA1" s="866"/>
      <c r="AB1" s="868"/>
      <c r="AC1" s="868"/>
      <c r="AD1" s="867"/>
      <c r="AE1" s="867"/>
      <c r="AK1" s="129" t="e">
        <f>#REF!*#REF!</f>
        <v>#REF!</v>
      </c>
      <c r="AL1" s="129" t="e">
        <f>#REF!*#REF!</f>
        <v>#REF!</v>
      </c>
      <c r="AM1" s="129" t="e">
        <f>#REF!*#REF!</f>
        <v>#REF!</v>
      </c>
      <c r="AN1" s="866"/>
      <c r="AO1" s="866"/>
      <c r="AP1" s="866"/>
      <c r="AQ1" s="866"/>
      <c r="AR1" s="866"/>
      <c r="AS1" s="866"/>
      <c r="AT1" s="866"/>
      <c r="AU1" s="866"/>
      <c r="AV1" s="866"/>
      <c r="AW1" s="866"/>
      <c r="AX1" s="866"/>
      <c r="AY1" s="866"/>
      <c r="AZ1" s="866"/>
      <c r="BA1" s="869"/>
      <c r="BB1" s="869"/>
      <c r="BC1" s="869"/>
      <c r="BD1" s="869"/>
      <c r="BE1" s="869"/>
      <c r="BF1" s="869"/>
      <c r="BG1" s="869"/>
      <c r="BH1" s="869"/>
      <c r="BI1" s="869"/>
      <c r="BJ1" s="869"/>
      <c r="BK1" s="869"/>
      <c r="BL1" s="869"/>
      <c r="BM1" s="869"/>
      <c r="BN1" s="869"/>
      <c r="BO1" s="869"/>
      <c r="BP1" s="869"/>
      <c r="BQ1" s="869"/>
      <c r="BR1" s="869"/>
      <c r="BS1" s="869"/>
      <c r="BT1" s="869"/>
      <c r="BU1" s="869"/>
      <c r="BV1" s="869"/>
      <c r="BW1" s="869"/>
      <c r="BX1" s="869"/>
      <c r="BY1" s="869"/>
      <c r="BZ1" s="869"/>
    </row>
    <row r="2" spans="1:78" ht="14.4" x14ac:dyDescent="0.25">
      <c r="A2" s="885" t="s">
        <v>418</v>
      </c>
      <c r="B2" s="871"/>
      <c r="C2" s="872"/>
      <c r="D2" s="872"/>
      <c r="E2" s="872"/>
      <c r="F2" s="872"/>
      <c r="G2" s="872"/>
      <c r="H2" s="872"/>
      <c r="I2" s="872"/>
      <c r="J2" s="872"/>
      <c r="K2" s="872"/>
      <c r="L2" s="867"/>
      <c r="M2" s="867"/>
      <c r="X2" s="873"/>
      <c r="Y2" s="873"/>
      <c r="Z2" s="867"/>
      <c r="AA2" s="867"/>
      <c r="AB2" s="873"/>
      <c r="AC2" s="873"/>
      <c r="AD2" s="867"/>
      <c r="AE2" s="867"/>
      <c r="AN2" s="866"/>
      <c r="AO2" s="866"/>
      <c r="AP2" s="866"/>
      <c r="AQ2" s="866"/>
      <c r="AR2" s="866"/>
      <c r="AS2" s="866"/>
      <c r="AT2" s="866"/>
      <c r="AU2" s="866"/>
      <c r="AV2" s="866"/>
      <c r="AW2" s="866"/>
      <c r="AX2" s="866"/>
      <c r="AY2" s="866"/>
      <c r="AZ2" s="866"/>
      <c r="BA2" s="869"/>
      <c r="BB2" s="869"/>
      <c r="BC2" s="869"/>
      <c r="BD2" s="869"/>
      <c r="BE2" s="869"/>
      <c r="BF2" s="869"/>
      <c r="BG2" s="869"/>
      <c r="BH2" s="869"/>
      <c r="BI2" s="869"/>
      <c r="BJ2" s="869"/>
      <c r="BK2" s="869"/>
      <c r="BL2" s="869"/>
      <c r="BM2" s="869"/>
      <c r="BN2" s="869"/>
      <c r="BO2" s="869"/>
      <c r="BP2" s="869"/>
      <c r="BQ2" s="869"/>
      <c r="BR2" s="869"/>
      <c r="BS2" s="869"/>
      <c r="BT2" s="869"/>
      <c r="BU2" s="869"/>
      <c r="BV2" s="869"/>
      <c r="BW2" s="869"/>
      <c r="BX2" s="869"/>
      <c r="BY2" s="869"/>
      <c r="BZ2" s="869"/>
    </row>
    <row r="3" spans="1:78" ht="14.4" x14ac:dyDescent="0.25">
      <c r="A3" s="885" t="s">
        <v>413</v>
      </c>
      <c r="B3" s="871"/>
      <c r="C3" s="872"/>
      <c r="D3" s="872"/>
      <c r="E3" s="872"/>
      <c r="F3" s="872"/>
      <c r="G3" s="872"/>
      <c r="H3" s="872"/>
      <c r="I3" s="872"/>
      <c r="J3" s="872"/>
      <c r="K3" s="872"/>
      <c r="L3" s="867"/>
      <c r="M3" s="867"/>
      <c r="X3" s="873"/>
      <c r="Y3" s="873"/>
      <c r="Z3" s="867"/>
      <c r="AA3" s="867"/>
      <c r="AB3" s="873"/>
      <c r="AC3" s="873"/>
      <c r="AD3" s="867"/>
      <c r="AE3" s="867"/>
      <c r="AN3" s="866"/>
      <c r="AO3" s="866"/>
      <c r="AP3" s="866"/>
      <c r="AQ3" s="866"/>
      <c r="AR3" s="866"/>
      <c r="AS3" s="866"/>
      <c r="AT3" s="866"/>
      <c r="AU3" s="866"/>
      <c r="AV3" s="866"/>
      <c r="AW3" s="866"/>
      <c r="AX3" s="866"/>
      <c r="AY3" s="866"/>
      <c r="AZ3" s="866"/>
      <c r="BA3" s="869"/>
      <c r="BB3" s="869"/>
      <c r="BC3" s="869"/>
      <c r="BD3" s="869"/>
      <c r="BE3" s="869"/>
      <c r="BF3" s="869"/>
      <c r="BG3" s="869"/>
      <c r="BH3" s="869"/>
      <c r="BI3" s="869"/>
      <c r="BJ3" s="869"/>
      <c r="BK3" s="869"/>
      <c r="BL3" s="869"/>
      <c r="BM3" s="869"/>
      <c r="BN3" s="869"/>
      <c r="BO3" s="869"/>
      <c r="BP3" s="869"/>
      <c r="BQ3" s="869"/>
      <c r="BR3" s="869"/>
      <c r="BS3" s="869"/>
      <c r="BT3" s="869"/>
      <c r="BU3" s="869"/>
      <c r="BV3" s="869"/>
      <c r="BW3" s="869"/>
      <c r="BX3" s="869"/>
      <c r="BY3" s="869"/>
      <c r="BZ3" s="869"/>
    </row>
    <row r="4" spans="1:78" ht="14.4" x14ac:dyDescent="0.25">
      <c r="A4" s="885" t="s">
        <v>442</v>
      </c>
      <c r="B4" s="871"/>
      <c r="C4" s="872"/>
      <c r="D4" s="872"/>
      <c r="E4" s="872"/>
      <c r="F4" s="872"/>
      <c r="G4" s="872"/>
      <c r="H4" s="872"/>
      <c r="I4" s="872"/>
      <c r="J4" s="872"/>
      <c r="K4" s="872"/>
      <c r="L4" s="867"/>
      <c r="M4" s="867"/>
      <c r="X4" s="873"/>
      <c r="Y4" s="873"/>
      <c r="Z4" s="867"/>
      <c r="AA4" s="867"/>
      <c r="AB4" s="873"/>
      <c r="AC4" s="873"/>
      <c r="AD4" s="867"/>
      <c r="AE4" s="867"/>
      <c r="AN4" s="866"/>
      <c r="AO4" s="866"/>
      <c r="AP4" s="866"/>
      <c r="AQ4" s="866"/>
      <c r="AR4" s="866"/>
      <c r="AS4" s="866"/>
      <c r="AT4" s="866"/>
      <c r="AU4" s="866"/>
      <c r="AV4" s="866"/>
      <c r="AW4" s="866"/>
      <c r="AX4" s="866"/>
      <c r="AY4" s="866"/>
      <c r="AZ4" s="866"/>
      <c r="BA4" s="869"/>
      <c r="BB4" s="869"/>
      <c r="BC4" s="869"/>
      <c r="BD4" s="869"/>
      <c r="BE4" s="869"/>
      <c r="BF4" s="869"/>
      <c r="BG4" s="869"/>
      <c r="BH4" s="869"/>
      <c r="BI4" s="869"/>
      <c r="BJ4" s="869"/>
      <c r="BK4" s="869"/>
      <c r="BL4" s="869"/>
      <c r="BM4" s="869"/>
      <c r="BN4" s="869"/>
      <c r="BO4" s="869"/>
      <c r="BP4" s="869"/>
      <c r="BQ4" s="869"/>
      <c r="BR4" s="869"/>
      <c r="BS4" s="869"/>
      <c r="BT4" s="869"/>
      <c r="BU4" s="869"/>
      <c r="BV4" s="869"/>
      <c r="BW4" s="869"/>
      <c r="BX4" s="869"/>
      <c r="BY4" s="869"/>
      <c r="BZ4" s="869"/>
    </row>
    <row r="5" spans="1:78" ht="14.4" x14ac:dyDescent="0.25">
      <c r="A5" s="870" t="s">
        <v>443</v>
      </c>
      <c r="B5" s="871"/>
      <c r="C5" s="872"/>
      <c r="D5" s="872"/>
      <c r="E5" s="872"/>
      <c r="F5" s="872"/>
      <c r="G5" s="872"/>
      <c r="H5" s="872"/>
      <c r="I5" s="872"/>
      <c r="J5" s="872"/>
      <c r="K5" s="872"/>
      <c r="L5" s="867"/>
      <c r="M5" s="867"/>
      <c r="X5" s="873"/>
      <c r="Y5" s="873"/>
      <c r="Z5" s="867"/>
      <c r="AA5" s="867"/>
      <c r="AB5" s="873"/>
      <c r="AC5" s="873"/>
      <c r="AD5" s="867"/>
      <c r="AE5" s="867"/>
      <c r="AN5" s="866"/>
      <c r="AO5" s="866"/>
      <c r="AP5" s="866"/>
      <c r="AQ5" s="866"/>
      <c r="AR5" s="866"/>
      <c r="AS5" s="866"/>
      <c r="AT5" s="866"/>
      <c r="AU5" s="866"/>
      <c r="AV5" s="866"/>
      <c r="AW5" s="866"/>
      <c r="AX5" s="866"/>
      <c r="AY5" s="866"/>
      <c r="AZ5" s="866"/>
      <c r="BA5" s="869"/>
      <c r="BB5" s="869"/>
      <c r="BC5" s="869"/>
      <c r="BD5" s="869"/>
      <c r="BE5" s="869"/>
      <c r="BF5" s="869"/>
      <c r="BG5" s="869"/>
      <c r="BH5" s="869"/>
      <c r="BI5" s="869"/>
      <c r="BJ5" s="869"/>
      <c r="BK5" s="869"/>
      <c r="BL5" s="869"/>
      <c r="BM5" s="869"/>
      <c r="BN5" s="869"/>
      <c r="BO5" s="869"/>
      <c r="BP5" s="869"/>
      <c r="BQ5" s="869"/>
      <c r="BR5" s="869"/>
      <c r="BS5" s="869"/>
      <c r="BT5" s="869"/>
      <c r="BU5" s="869"/>
      <c r="BV5" s="869"/>
      <c r="BW5" s="869"/>
      <c r="BX5" s="869"/>
      <c r="BY5" s="869"/>
      <c r="BZ5" s="869"/>
    </row>
    <row r="6" spans="1:78" ht="16.5" customHeight="1" x14ac:dyDescent="0.25">
      <c r="A6" s="17"/>
      <c r="B6" s="18"/>
      <c r="C6" s="283"/>
      <c r="D6" s="283" t="s">
        <v>57</v>
      </c>
      <c r="E6" s="283"/>
      <c r="F6" s="283"/>
      <c r="G6" s="283"/>
      <c r="H6" s="283"/>
      <c r="I6" s="283"/>
      <c r="J6" s="283"/>
      <c r="K6" s="284"/>
      <c r="L6" s="176"/>
      <c r="M6" s="176"/>
      <c r="N6" s="866"/>
      <c r="O6" s="866"/>
      <c r="P6" s="866"/>
      <c r="Q6" s="866"/>
      <c r="R6" s="866"/>
      <c r="S6" s="866"/>
      <c r="T6" s="866"/>
      <c r="U6" s="866"/>
      <c r="V6" s="866"/>
      <c r="W6" s="866"/>
      <c r="X6" s="866"/>
      <c r="Y6" s="866"/>
      <c r="Z6" s="868"/>
      <c r="AA6" s="868"/>
      <c r="AB6" s="866"/>
      <c r="AC6" s="866"/>
      <c r="AD6" s="868"/>
      <c r="AE6" s="868"/>
    </row>
    <row r="7" spans="1:78" ht="6.75" customHeight="1" x14ac:dyDescent="0.25">
      <c r="A7" s="20"/>
      <c r="B7" s="60"/>
      <c r="C7" s="244"/>
      <c r="D7" s="244"/>
      <c r="E7" s="244"/>
      <c r="F7" s="244"/>
      <c r="G7" s="244"/>
      <c r="H7" s="244"/>
      <c r="I7" s="244"/>
      <c r="J7" s="244"/>
      <c r="K7" s="245"/>
      <c r="L7" s="57"/>
      <c r="M7" s="57"/>
      <c r="N7" s="866"/>
      <c r="O7" s="866"/>
      <c r="P7" s="866"/>
      <c r="Q7" s="866"/>
      <c r="R7" s="866"/>
      <c r="S7" s="866"/>
      <c r="T7" s="866"/>
      <c r="U7" s="866"/>
      <c r="V7" s="866"/>
      <c r="W7" s="866"/>
      <c r="X7" s="866"/>
      <c r="Y7" s="866"/>
      <c r="Z7" s="868"/>
      <c r="AA7" s="868"/>
      <c r="AB7" s="866"/>
      <c r="AC7" s="866"/>
      <c r="AD7" s="868"/>
      <c r="AE7" s="868"/>
    </row>
    <row r="8" spans="1:78" ht="16.5" customHeight="1" x14ac:dyDescent="0.25">
      <c r="A8" s="305" t="s">
        <v>37</v>
      </c>
      <c r="B8" s="603" t="str">
        <f>Sample_Y1!B8</f>
        <v>Ann B. Dextrous</v>
      </c>
      <c r="C8" s="280"/>
      <c r="D8" s="246"/>
      <c r="E8" s="246"/>
      <c r="F8" s="246"/>
      <c r="G8" s="246"/>
      <c r="H8" s="246"/>
      <c r="I8" s="246"/>
      <c r="J8" s="246"/>
      <c r="K8" s="898" t="s">
        <v>450</v>
      </c>
      <c r="L8" s="57"/>
      <c r="M8" s="57"/>
      <c r="N8" s="866"/>
      <c r="O8" s="866"/>
      <c r="P8" s="866"/>
      <c r="Q8" s="866"/>
      <c r="R8" s="866"/>
      <c r="S8" s="866"/>
      <c r="T8" s="866"/>
      <c r="U8" s="866"/>
      <c r="V8" s="866"/>
      <c r="W8" s="866"/>
      <c r="X8" s="866"/>
      <c r="Y8" s="866"/>
      <c r="Z8" s="868"/>
      <c r="AA8" s="868"/>
      <c r="AB8" s="866"/>
      <c r="AC8" s="866"/>
      <c r="AD8" s="868"/>
      <c r="AE8" s="868"/>
    </row>
    <row r="9" spans="1:78" ht="16.5" customHeight="1" x14ac:dyDescent="0.25">
      <c r="A9" s="305" t="s">
        <v>38</v>
      </c>
      <c r="B9" s="603" t="str">
        <f>Sample_Y1!B9</f>
        <v>NIGMS</v>
      </c>
      <c r="C9" s="280"/>
      <c r="D9" s="246"/>
      <c r="E9" s="246"/>
      <c r="F9" s="246"/>
      <c r="G9" s="246"/>
      <c r="H9" s="246"/>
      <c r="I9" s="246"/>
      <c r="J9" s="246"/>
      <c r="K9" s="285"/>
      <c r="L9" s="57"/>
      <c r="M9" s="57"/>
      <c r="N9" s="866"/>
      <c r="O9" s="866"/>
      <c r="P9" s="866"/>
      <c r="Q9" s="866"/>
      <c r="R9" s="866"/>
      <c r="S9" s="866"/>
      <c r="T9" s="866"/>
      <c r="U9" s="866"/>
      <c r="V9" s="866"/>
      <c r="W9" s="866"/>
      <c r="X9" s="866"/>
      <c r="Y9" s="866"/>
      <c r="Z9" s="868"/>
      <c r="AA9" s="868"/>
      <c r="AB9" s="866"/>
      <c r="AC9" s="866"/>
      <c r="AD9" s="868"/>
      <c r="AE9" s="868"/>
    </row>
    <row r="10" spans="1:78" s="904" customFormat="1" ht="16.5" customHeight="1" x14ac:dyDescent="0.25">
      <c r="A10" s="305" t="s">
        <v>39</v>
      </c>
      <c r="B10" s="603" t="str">
        <f>Sample_Y1!B10</f>
        <v>Do righties or lefties make better jugglers?</v>
      </c>
      <c r="C10" s="280"/>
      <c r="D10" s="275"/>
      <c r="E10" s="275"/>
      <c r="F10" s="275"/>
      <c r="G10" s="275"/>
      <c r="H10" s="275"/>
      <c r="I10" s="275"/>
      <c r="J10" s="275"/>
      <c r="K10" s="286"/>
      <c r="L10" s="19"/>
      <c r="M10" s="19"/>
      <c r="N10" s="912"/>
      <c r="O10" s="912"/>
      <c r="P10" s="912"/>
      <c r="Q10" s="912"/>
      <c r="R10" s="912"/>
      <c r="S10" s="912"/>
      <c r="T10" s="912"/>
      <c r="U10" s="912"/>
      <c r="V10" s="912"/>
      <c r="W10" s="912"/>
      <c r="X10" s="912"/>
      <c r="Y10" s="912"/>
      <c r="Z10" s="911"/>
      <c r="AA10" s="911"/>
      <c r="AB10" s="912"/>
      <c r="AC10" s="912"/>
      <c r="AD10" s="911"/>
      <c r="AE10" s="911"/>
    </row>
    <row r="11" spans="1:78" s="904" customFormat="1" ht="16.5" customHeight="1" x14ac:dyDescent="0.25">
      <c r="A11" s="306" t="s">
        <v>40</v>
      </c>
      <c r="B11" s="304" t="s">
        <v>293</v>
      </c>
      <c r="C11" s="280"/>
      <c r="D11" s="275"/>
      <c r="E11" s="275"/>
      <c r="F11" s="275"/>
      <c r="G11" s="275"/>
      <c r="H11" s="275"/>
      <c r="I11" s="275"/>
      <c r="J11" s="275"/>
      <c r="K11" s="286"/>
      <c r="L11" s="19"/>
      <c r="M11" s="19"/>
      <c r="N11" s="912"/>
      <c r="O11" s="912"/>
      <c r="P11" s="912"/>
      <c r="Q11" s="912"/>
      <c r="R11" s="912"/>
      <c r="S11" s="912"/>
      <c r="T11" s="912"/>
      <c r="U11" s="912"/>
      <c r="V11" s="912"/>
      <c r="W11" s="912"/>
      <c r="X11" s="912"/>
      <c r="Y11" s="912"/>
      <c r="Z11" s="911"/>
      <c r="AA11" s="911"/>
      <c r="AB11" s="912"/>
      <c r="AC11" s="912"/>
      <c r="AD11" s="911"/>
      <c r="AE11" s="911"/>
    </row>
    <row r="12" spans="1:78" s="904" customFormat="1" ht="16.5" customHeight="1" x14ac:dyDescent="0.25">
      <c r="A12" s="306" t="s">
        <v>41</v>
      </c>
      <c r="B12" s="603">
        <f>Sample_Y1!B12</f>
        <v>0</v>
      </c>
      <c r="C12" s="280"/>
      <c r="D12" s="275"/>
      <c r="E12" s="275"/>
      <c r="F12" s="275"/>
      <c r="G12" s="275"/>
      <c r="H12" s="275"/>
      <c r="I12" s="275"/>
      <c r="J12" s="275"/>
      <c r="K12" s="286"/>
      <c r="L12" s="19"/>
      <c r="M12" s="19"/>
      <c r="N12" s="912"/>
      <c r="O12" s="912"/>
      <c r="P12" s="912"/>
      <c r="Q12" s="912"/>
      <c r="R12" s="912"/>
      <c r="S12" s="912"/>
      <c r="T12" s="912"/>
      <c r="U12" s="912"/>
      <c r="V12" s="912"/>
      <c r="W12" s="912"/>
      <c r="X12" s="912"/>
      <c r="Y12" s="912"/>
      <c r="Z12" s="911"/>
      <c r="AA12" s="911"/>
      <c r="AB12" s="912"/>
      <c r="AC12" s="912"/>
      <c r="AD12" s="911"/>
      <c r="AE12" s="911"/>
    </row>
    <row r="13" spans="1:78" s="904" customFormat="1" ht="16.5" customHeight="1" x14ac:dyDescent="0.25">
      <c r="A13" s="306" t="s">
        <v>42</v>
      </c>
      <c r="B13" s="603">
        <f>Sample_Y1!B13</f>
        <v>0</v>
      </c>
      <c r="C13" s="280"/>
      <c r="D13" s="275"/>
      <c r="E13" s="275"/>
      <c r="F13" s="275"/>
      <c r="G13" s="275"/>
      <c r="H13" s="275"/>
      <c r="I13" s="275"/>
      <c r="J13" s="275"/>
      <c r="K13" s="286"/>
      <c r="L13" s="19"/>
      <c r="M13" s="19"/>
      <c r="N13" s="1509" t="s">
        <v>145</v>
      </c>
      <c r="O13" s="1510"/>
      <c r="P13" s="1511"/>
      <c r="Q13" s="912"/>
      <c r="R13" s="1512" t="s">
        <v>147</v>
      </c>
      <c r="S13" s="1513"/>
      <c r="T13" s="1513"/>
      <c r="U13" s="1513"/>
      <c r="V13" s="1513"/>
      <c r="W13" s="1514"/>
      <c r="X13" s="232"/>
      <c r="Y13" s="267"/>
      <c r="Z13" s="268"/>
      <c r="AA13" s="268"/>
      <c r="AB13" s="269"/>
      <c r="AC13" s="269"/>
      <c r="AD13" s="268"/>
      <c r="AE13" s="270"/>
    </row>
    <row r="14" spans="1:78" s="904" customFormat="1" ht="16.5" customHeight="1" x14ac:dyDescent="0.25">
      <c r="A14" s="306" t="s">
        <v>43</v>
      </c>
      <c r="B14" s="603">
        <f>Sample_Y1!B14</f>
        <v>0</v>
      </c>
      <c r="C14" s="281"/>
      <c r="D14" s="275"/>
      <c r="E14" s="275"/>
      <c r="F14" s="275"/>
      <c r="G14" s="275"/>
      <c r="H14" s="275"/>
      <c r="I14" s="275"/>
      <c r="J14" s="275"/>
      <c r="K14" s="286"/>
      <c r="L14" s="19"/>
      <c r="M14" s="19"/>
      <c r="N14" s="233"/>
      <c r="O14" s="1557" t="s">
        <v>195</v>
      </c>
      <c r="P14" s="234"/>
      <c r="Q14" s="912"/>
      <c r="R14" s="235"/>
      <c r="S14" s="236"/>
      <c r="T14" s="237"/>
      <c r="U14" s="1499" t="s">
        <v>154</v>
      </c>
      <c r="V14" s="1499" t="s">
        <v>155</v>
      </c>
      <c r="W14" s="238"/>
      <c r="X14" s="239"/>
      <c r="Y14" s="1479" t="s">
        <v>162</v>
      </c>
      <c r="Z14" s="1480"/>
      <c r="AA14" s="1480"/>
      <c r="AB14" s="1480"/>
      <c r="AC14" s="1480"/>
      <c r="AD14" s="1480"/>
      <c r="AE14" s="1481"/>
      <c r="AG14" s="1548" t="s">
        <v>187</v>
      </c>
      <c r="AH14" s="1548"/>
      <c r="AI14" s="867"/>
      <c r="AJ14" s="1548" t="s">
        <v>187</v>
      </c>
      <c r="AK14" s="1548"/>
      <c r="AL14" s="867"/>
      <c r="AM14" s="1549" t="s">
        <v>187</v>
      </c>
      <c r="AN14" s="1549"/>
      <c r="AO14" s="867"/>
    </row>
    <row r="15" spans="1:78" s="904" customFormat="1" ht="16.5" customHeight="1" x14ac:dyDescent="0.3">
      <c r="A15" s="305" t="s">
        <v>105</v>
      </c>
      <c r="B15" s="275" t="s">
        <v>1</v>
      </c>
      <c r="C15" s="282"/>
      <c r="D15" s="275"/>
      <c r="E15" s="275"/>
      <c r="F15" s="275"/>
      <c r="G15" s="275"/>
      <c r="H15" s="275"/>
      <c r="I15" s="1489" t="s">
        <v>44</v>
      </c>
      <c r="J15" s="1489"/>
      <c r="K15" s="1489"/>
      <c r="L15" s="19"/>
      <c r="M15" s="19"/>
      <c r="N15" s="233"/>
      <c r="O15" s="1557"/>
      <c r="P15" s="234"/>
      <c r="Q15" s="912"/>
      <c r="R15" s="1553" t="s">
        <v>148</v>
      </c>
      <c r="S15" s="1499" t="s">
        <v>151</v>
      </c>
      <c r="T15" s="1499" t="s">
        <v>152</v>
      </c>
      <c r="U15" s="1499"/>
      <c r="V15" s="1499"/>
      <c r="W15" s="238"/>
      <c r="X15" s="239"/>
      <c r="Y15" s="1479"/>
      <c r="Z15" s="1480"/>
      <c r="AA15" s="1480"/>
      <c r="AB15" s="1480"/>
      <c r="AC15" s="1480"/>
      <c r="AD15" s="1480"/>
      <c r="AE15" s="1481"/>
      <c r="AG15" s="138" t="s">
        <v>157</v>
      </c>
      <c r="AH15" s="138" t="s">
        <v>158</v>
      </c>
      <c r="AI15" s="9"/>
      <c r="AJ15" s="138" t="s">
        <v>157</v>
      </c>
      <c r="AK15" s="138" t="s">
        <v>158</v>
      </c>
      <c r="AL15" s="867"/>
      <c r="AM15" s="138" t="s">
        <v>157</v>
      </c>
      <c r="AN15" s="138" t="s">
        <v>158</v>
      </c>
      <c r="AO15" s="904" t="s">
        <v>4</v>
      </c>
    </row>
    <row r="16" spans="1:78" ht="16.5" customHeight="1" x14ac:dyDescent="0.25">
      <c r="A16" s="866"/>
      <c r="B16" s="529"/>
      <c r="C16" s="262"/>
      <c r="D16" s="262"/>
      <c r="E16" s="262"/>
      <c r="F16" s="262"/>
      <c r="G16" s="262"/>
      <c r="H16" s="262"/>
      <c r="I16" s="208" t="s">
        <v>22</v>
      </c>
      <c r="J16" s="208"/>
      <c r="K16" s="209">
        <v>0.28000000000000003</v>
      </c>
      <c r="L16" s="177"/>
      <c r="M16" s="177"/>
      <c r="N16" s="1555" t="s">
        <v>141</v>
      </c>
      <c r="O16" s="1557"/>
      <c r="P16" s="240"/>
      <c r="Q16" s="866"/>
      <c r="R16" s="1553"/>
      <c r="S16" s="1499"/>
      <c r="T16" s="1499"/>
      <c r="U16" s="1499"/>
      <c r="V16" s="1499"/>
      <c r="W16" s="238"/>
      <c r="X16" s="239"/>
      <c r="Y16" s="271"/>
      <c r="Z16" s="272"/>
      <c r="AA16" s="272"/>
      <c r="AB16" s="262"/>
      <c r="AC16" s="262"/>
      <c r="AD16" s="272"/>
      <c r="AE16" s="273"/>
    </row>
    <row r="17" spans="1:41" ht="16.5" customHeight="1" x14ac:dyDescent="0.25">
      <c r="A17" s="604" t="s">
        <v>28</v>
      </c>
      <c r="B17" s="605"/>
      <c r="C17" s="329"/>
      <c r="D17" s="329"/>
      <c r="E17" s="329"/>
      <c r="F17" s="329"/>
      <c r="G17" s="329"/>
      <c r="H17" s="329"/>
      <c r="I17" s="210" t="s">
        <v>21</v>
      </c>
      <c r="J17" s="210"/>
      <c r="K17" s="211">
        <v>0.28999999999999998</v>
      </c>
      <c r="L17" s="177"/>
      <c r="M17" s="177"/>
      <c r="N17" s="1555"/>
      <c r="O17" s="1557"/>
      <c r="P17" s="240"/>
      <c r="Q17" s="866"/>
      <c r="R17" s="1553"/>
      <c r="S17" s="1499"/>
      <c r="T17" s="1499"/>
      <c r="U17" s="1499"/>
      <c r="V17" s="1499"/>
      <c r="W17" s="238"/>
      <c r="X17" s="239"/>
      <c r="Y17" s="274"/>
      <c r="Z17" s="272"/>
      <c r="AA17" s="275" t="s">
        <v>31</v>
      </c>
      <c r="AB17" s="262"/>
      <c r="AC17" s="275" t="s">
        <v>185</v>
      </c>
      <c r="AD17" s="272" t="s">
        <v>203</v>
      </c>
      <c r="AE17" s="273" t="s">
        <v>204</v>
      </c>
      <c r="AG17" s="64" t="s">
        <v>31</v>
      </c>
    </row>
    <row r="18" spans="1:41" ht="16.5" customHeight="1" x14ac:dyDescent="0.25">
      <c r="A18" s="341" t="s">
        <v>5</v>
      </c>
      <c r="B18" s="529"/>
      <c r="C18" s="331"/>
      <c r="D18" s="1559" t="s">
        <v>143</v>
      </c>
      <c r="E18" s="1559"/>
      <c r="F18" s="1559" t="s">
        <v>144</v>
      </c>
      <c r="G18" s="1559"/>
      <c r="H18" s="262"/>
      <c r="I18" s="866"/>
      <c r="J18" s="866"/>
      <c r="K18" s="332" t="s">
        <v>160</v>
      </c>
      <c r="L18" s="178"/>
      <c r="M18" s="178"/>
      <c r="N18" s="1556"/>
      <c r="O18" s="1558"/>
      <c r="P18" s="241" t="s">
        <v>131</v>
      </c>
      <c r="Q18" s="866"/>
      <c r="R18" s="1554"/>
      <c r="S18" s="1500"/>
      <c r="T18" s="1500"/>
      <c r="U18" s="1500"/>
      <c r="V18" s="1500"/>
      <c r="W18" s="242"/>
      <c r="X18" s="239"/>
      <c r="Y18" s="274"/>
      <c r="Z18" s="276"/>
      <c r="AA18" s="276"/>
      <c r="AB18" s="277" t="s">
        <v>36</v>
      </c>
      <c r="AC18" s="275" t="s">
        <v>186</v>
      </c>
      <c r="AD18" s="278" t="s">
        <v>136</v>
      </c>
      <c r="AE18" s="279" t="s">
        <v>137</v>
      </c>
    </row>
    <row r="19" spans="1:41" ht="30" customHeight="1" thickBot="1" x14ac:dyDescent="0.3">
      <c r="A19" s="606" t="s">
        <v>36</v>
      </c>
      <c r="B19" s="607" t="s">
        <v>25</v>
      </c>
      <c r="C19" s="333" t="s">
        <v>27</v>
      </c>
      <c r="D19" s="333" t="s">
        <v>6</v>
      </c>
      <c r="E19" s="333" t="s">
        <v>20</v>
      </c>
      <c r="F19" s="333" t="s">
        <v>6</v>
      </c>
      <c r="G19" s="333" t="s">
        <v>20</v>
      </c>
      <c r="H19" s="334" t="s">
        <v>7</v>
      </c>
      <c r="I19" s="334" t="s">
        <v>54</v>
      </c>
      <c r="J19" s="334" t="s">
        <v>55</v>
      </c>
      <c r="K19" s="335" t="s">
        <v>8</v>
      </c>
      <c r="L19" s="179"/>
      <c r="M19" s="179"/>
      <c r="N19" s="243"/>
      <c r="O19" s="244"/>
      <c r="P19" s="245"/>
      <c r="Q19" s="866"/>
      <c r="R19" s="243"/>
      <c r="S19" s="244"/>
      <c r="T19" s="244"/>
      <c r="U19" s="244"/>
      <c r="V19" s="244"/>
      <c r="W19" s="245"/>
      <c r="X19" s="246"/>
      <c r="Y19" s="488"/>
      <c r="Z19" s="489"/>
      <c r="AA19" s="490"/>
      <c r="AB19" s="491"/>
      <c r="AC19" s="1465" t="s">
        <v>160</v>
      </c>
      <c r="AD19" s="1465"/>
      <c r="AE19" s="1466"/>
      <c r="AG19" s="1472" t="s">
        <v>159</v>
      </c>
      <c r="AH19" s="1472"/>
      <c r="AJ19" s="1473" t="s">
        <v>160</v>
      </c>
      <c r="AK19" s="1473"/>
      <c r="AM19" s="1474" t="s">
        <v>161</v>
      </c>
      <c r="AN19" s="1474"/>
      <c r="AO19" s="1474"/>
    </row>
    <row r="20" spans="1:41" ht="16.5" customHeight="1" thickTop="1" thickBot="1" x14ac:dyDescent="0.3">
      <c r="A20" s="910"/>
      <c r="B20" s="226"/>
      <c r="C20" s="227"/>
      <c r="D20" s="875"/>
      <c r="E20" s="224">
        <f t="shared" ref="E20:E27" si="0">D20*12</f>
        <v>0</v>
      </c>
      <c r="F20" s="223" t="str">
        <f t="shared" ref="F20:F27" si="1">IF(N20=12, "n/a ", IF(AND(N20&lt;12, O20="Yes"), "n/a", D20*P20))</f>
        <v xml:space="preserve">n/a </v>
      </c>
      <c r="G20" s="224" t="str">
        <f t="shared" ref="G20:G27" si="2">IF(N20=12,"n/a",IF(AND(N20&lt;12,O20="Yes"),"n/a",F20*12))</f>
        <v>n/a</v>
      </c>
      <c r="H20" s="398">
        <f>IF(AND(E113="Yes",C20&gt;F123),F123*D20*P20,IF(AND(N20=12,R20="Yes"),C20*U20,IF(AND(N20&lt;12,R20="Yes"),C20*P20*U20,C20*D20*P20)))</f>
        <v>0</v>
      </c>
      <c r="I20" s="223">
        <f t="shared" ref="I20:I27" si="3">IF(AND($C$283="No",$I$225="No"),$J$226,IF(AND($C$283="No",$I$225="Yes"),$K$17,$K$16))</f>
        <v>0.28000000000000003</v>
      </c>
      <c r="J20" s="398">
        <f t="shared" ref="J20:J27" si="4">H20*I20</f>
        <v>0</v>
      </c>
      <c r="K20" s="513">
        <f t="shared" ref="K20:K27" si="5">H20+J20</f>
        <v>0</v>
      </c>
      <c r="L20" s="25"/>
      <c r="M20" s="25"/>
      <c r="N20" s="836">
        <v>12</v>
      </c>
      <c r="O20" s="876" t="s">
        <v>60</v>
      </c>
      <c r="P20" s="637">
        <f t="shared" ref="P20:P27" si="6">N20/12</f>
        <v>1</v>
      </c>
      <c r="Q20" s="866"/>
      <c r="R20" s="877" t="s">
        <v>60</v>
      </c>
      <c r="S20" s="248" t="str">
        <f t="shared" ref="S20:S27" si="7">IF(R20="No", " ", U20/D20)</f>
        <v xml:space="preserve"> </v>
      </c>
      <c r="T20" s="249" t="str">
        <f>IF(R20="No", " ", 1-S20)</f>
        <v xml:space="preserve"> </v>
      </c>
      <c r="U20" s="846"/>
      <c r="V20" s="254" t="str">
        <f>IF(AND(N20=12,R20="Yes"),D20-U20,IF(AND(N20&lt;12,R20="Yes"),F20-U20," "))</f>
        <v xml:space="preserve"> </v>
      </c>
      <c r="W20" s="255" t="str">
        <f>IF(AND(N20=12,R20="Yes",U20&gt;D20),"ERROR",IF(AND(N20&lt;12,R20="Yes",U20&gt;F20),"ERROR"," "))</f>
        <v xml:space="preserve"> </v>
      </c>
      <c r="X20" s="136"/>
      <c r="Y20" s="258"/>
      <c r="Z20" s="259"/>
      <c r="AA20" s="259"/>
      <c r="AB20" s="157">
        <f t="shared" ref="AB20:AB27" si="8">A20</f>
        <v>0</v>
      </c>
      <c r="AC20" s="303">
        <f t="shared" ref="AC20:AC27" si="9">K20</f>
        <v>0</v>
      </c>
      <c r="AD20" s="837"/>
      <c r="AE20" s="264">
        <f>1-AD20</f>
        <v>1</v>
      </c>
      <c r="AG20" s="4">
        <f t="shared" ref="AG20:AG27" si="10">K20*Z20</f>
        <v>0</v>
      </c>
      <c r="AH20" s="4">
        <f t="shared" ref="AH20:AH27" si="11">K20*AA20</f>
        <v>0</v>
      </c>
      <c r="AJ20" s="4">
        <f t="shared" ref="AJ20:AJ27" si="12">K20*AD20</f>
        <v>0</v>
      </c>
      <c r="AK20" s="4">
        <f t="shared" ref="AK20:AK27" si="13">K20*AE20</f>
        <v>0</v>
      </c>
      <c r="AM20" s="4">
        <f t="shared" ref="AM20:AN27" si="14">AG20+AJ20</f>
        <v>0</v>
      </c>
      <c r="AN20" s="4">
        <f t="shared" si="14"/>
        <v>0</v>
      </c>
      <c r="AO20" s="4">
        <f>AM20+AN20</f>
        <v>0</v>
      </c>
    </row>
    <row r="21" spans="1:41" ht="16.5" customHeight="1" thickTop="1" thickBot="1" x14ac:dyDescent="0.3">
      <c r="A21" s="910"/>
      <c r="B21" s="226"/>
      <c r="C21" s="227"/>
      <c r="D21" s="875"/>
      <c r="E21" s="224">
        <f t="shared" si="0"/>
        <v>0</v>
      </c>
      <c r="F21" s="223" t="str">
        <f t="shared" si="1"/>
        <v xml:space="preserve">n/a </v>
      </c>
      <c r="G21" s="224" t="str">
        <f t="shared" si="2"/>
        <v>n/a</v>
      </c>
      <c r="H21" s="398">
        <f>IF(AND(N21=12,R21="Yes"),C21*U21,IF(AND(N21&lt;12,R21="Yes"),C21*P21*U21,IF(AND(O21="Yes",R21="No"),C21*D21*P21,C21*D21*P21)))</f>
        <v>0</v>
      </c>
      <c r="I21" s="223">
        <f t="shared" si="3"/>
        <v>0.28000000000000003</v>
      </c>
      <c r="J21" s="398">
        <f t="shared" si="4"/>
        <v>0</v>
      </c>
      <c r="K21" s="513">
        <f t="shared" si="5"/>
        <v>0</v>
      </c>
      <c r="L21" s="25"/>
      <c r="M21" s="25"/>
      <c r="N21" s="836">
        <v>12</v>
      </c>
      <c r="O21" s="876" t="s">
        <v>60</v>
      </c>
      <c r="P21" s="637">
        <f t="shared" si="6"/>
        <v>1</v>
      </c>
      <c r="Q21" s="866"/>
      <c r="R21" s="877" t="s">
        <v>60</v>
      </c>
      <c r="S21" s="248" t="str">
        <f t="shared" si="7"/>
        <v xml:space="preserve"> </v>
      </c>
      <c r="T21" s="250" t="str">
        <f t="shared" ref="T21:T27" si="15">IF(R21="No", " ", 1-S21)</f>
        <v xml:space="preserve"> </v>
      </c>
      <c r="U21" s="846"/>
      <c r="V21" s="254" t="str">
        <f>IF(AND(N21=12,R21="Yes"),D21-U21,IF(AND(N21&lt;12,R21="Yes"),F21-U21," "))</f>
        <v xml:space="preserve"> </v>
      </c>
      <c r="W21" s="256" t="str">
        <f>IF(AND(N21=12,R21="Yes",U21&gt;D21),"ERROR",IF(AND(N21&lt;12,R21="Yes",U21&gt;F21),"ERROR"," "))</f>
        <v xml:space="preserve"> </v>
      </c>
      <c r="X21" s="136"/>
      <c r="Y21" s="258"/>
      <c r="Z21" s="259"/>
      <c r="AA21" s="259"/>
      <c r="AB21" s="157">
        <f t="shared" si="8"/>
        <v>0</v>
      </c>
      <c r="AC21" s="303">
        <f t="shared" si="9"/>
        <v>0</v>
      </c>
      <c r="AD21" s="837"/>
      <c r="AE21" s="264">
        <f t="shared" ref="AE21:AE27" si="16">1-AD21</f>
        <v>1</v>
      </c>
      <c r="AG21" s="4">
        <f t="shared" si="10"/>
        <v>0</v>
      </c>
      <c r="AH21" s="4">
        <f t="shared" si="11"/>
        <v>0</v>
      </c>
      <c r="AJ21" s="4">
        <f t="shared" si="12"/>
        <v>0</v>
      </c>
      <c r="AK21" s="4">
        <f t="shared" si="13"/>
        <v>0</v>
      </c>
      <c r="AM21" s="4">
        <f t="shared" si="14"/>
        <v>0</v>
      </c>
      <c r="AN21" s="4">
        <f t="shared" si="14"/>
        <v>0</v>
      </c>
      <c r="AO21" s="4">
        <f t="shared" ref="AO21:AO28" si="17">AM21+AN21</f>
        <v>0</v>
      </c>
    </row>
    <row r="22" spans="1:41" ht="16.5" customHeight="1" thickTop="1" thickBot="1" x14ac:dyDescent="0.3">
      <c r="A22" s="910"/>
      <c r="B22" s="226"/>
      <c r="C22" s="227"/>
      <c r="D22" s="875"/>
      <c r="E22" s="224">
        <f t="shared" si="0"/>
        <v>0</v>
      </c>
      <c r="F22" s="223" t="str">
        <f t="shared" si="1"/>
        <v xml:space="preserve">n/a </v>
      </c>
      <c r="G22" s="224" t="str">
        <f t="shared" si="2"/>
        <v>n/a</v>
      </c>
      <c r="H22" s="398">
        <f t="shared" ref="H22:H27" si="18">IF(AND(N22=12,R22="Yes"),C22*U22,IF(AND(N22&lt;12,R22="Yes"),C22*P22*U22,IF(AND(O22="Yes",R22="No"),C22*D22*P22,C22*D22*P22)))</f>
        <v>0</v>
      </c>
      <c r="I22" s="223">
        <f t="shared" si="3"/>
        <v>0.28000000000000003</v>
      </c>
      <c r="J22" s="398">
        <f t="shared" si="4"/>
        <v>0</v>
      </c>
      <c r="K22" s="513">
        <f t="shared" si="5"/>
        <v>0</v>
      </c>
      <c r="L22" s="25"/>
      <c r="M22" s="25"/>
      <c r="N22" s="836">
        <v>12</v>
      </c>
      <c r="O22" s="876" t="s">
        <v>60</v>
      </c>
      <c r="P22" s="637">
        <f t="shared" si="6"/>
        <v>1</v>
      </c>
      <c r="Q22" s="866"/>
      <c r="R22" s="877" t="s">
        <v>60</v>
      </c>
      <c r="S22" s="248" t="str">
        <f t="shared" si="7"/>
        <v xml:space="preserve"> </v>
      </c>
      <c r="T22" s="250" t="str">
        <f t="shared" si="15"/>
        <v xml:space="preserve"> </v>
      </c>
      <c r="U22" s="846"/>
      <c r="V22" s="254" t="str">
        <f t="shared" ref="V22:V27" si="19">IF(AND(N22=12,R22="Yes"),D22-U22,IF(AND(N22&lt;12,R22="Yes"),F22-U22," "))</f>
        <v xml:space="preserve"> </v>
      </c>
      <c r="W22" s="256" t="str">
        <f t="shared" ref="W22:W27" si="20">IF(AND(N22=12,R22="Yes",U22&gt;D22),"ERROR",IF(AND(N22&lt;12,R22="Yes",U22&gt;F22),"ERROR"," "))</f>
        <v xml:space="preserve"> </v>
      </c>
      <c r="X22" s="136"/>
      <c r="Y22" s="258"/>
      <c r="Z22" s="259"/>
      <c r="AA22" s="259"/>
      <c r="AB22" s="157">
        <f t="shared" si="8"/>
        <v>0</v>
      </c>
      <c r="AC22" s="303">
        <f t="shared" si="9"/>
        <v>0</v>
      </c>
      <c r="AD22" s="837"/>
      <c r="AE22" s="264">
        <f t="shared" si="16"/>
        <v>1</v>
      </c>
      <c r="AG22" s="4">
        <f t="shared" si="10"/>
        <v>0</v>
      </c>
      <c r="AH22" s="4">
        <f t="shared" si="11"/>
        <v>0</v>
      </c>
      <c r="AJ22" s="4">
        <f t="shared" si="12"/>
        <v>0</v>
      </c>
      <c r="AK22" s="4">
        <f t="shared" si="13"/>
        <v>0</v>
      </c>
      <c r="AM22" s="4">
        <f t="shared" si="14"/>
        <v>0</v>
      </c>
      <c r="AN22" s="4">
        <f t="shared" si="14"/>
        <v>0</v>
      </c>
      <c r="AO22" s="4">
        <f t="shared" si="17"/>
        <v>0</v>
      </c>
    </row>
    <row r="23" spans="1:41" ht="16.5" customHeight="1" thickTop="1" thickBot="1" x14ac:dyDescent="0.3">
      <c r="A23" s="910"/>
      <c r="B23" s="226"/>
      <c r="C23" s="227"/>
      <c r="D23" s="875"/>
      <c r="E23" s="224">
        <f t="shared" si="0"/>
        <v>0</v>
      </c>
      <c r="F23" s="223" t="str">
        <f t="shared" si="1"/>
        <v xml:space="preserve">n/a </v>
      </c>
      <c r="G23" s="224" t="str">
        <f t="shared" si="2"/>
        <v>n/a</v>
      </c>
      <c r="H23" s="398">
        <f t="shared" si="18"/>
        <v>0</v>
      </c>
      <c r="I23" s="223">
        <f t="shared" si="3"/>
        <v>0.28000000000000003</v>
      </c>
      <c r="J23" s="398">
        <f t="shared" si="4"/>
        <v>0</v>
      </c>
      <c r="K23" s="513">
        <f t="shared" si="5"/>
        <v>0</v>
      </c>
      <c r="L23" s="25"/>
      <c r="M23" s="25"/>
      <c r="N23" s="836">
        <v>12</v>
      </c>
      <c r="O23" s="876" t="s">
        <v>60</v>
      </c>
      <c r="P23" s="637">
        <f t="shared" si="6"/>
        <v>1</v>
      </c>
      <c r="Q23" s="866"/>
      <c r="R23" s="877" t="s">
        <v>60</v>
      </c>
      <c r="S23" s="248" t="str">
        <f t="shared" si="7"/>
        <v xml:space="preserve"> </v>
      </c>
      <c r="T23" s="250" t="str">
        <f t="shared" si="15"/>
        <v xml:space="preserve"> </v>
      </c>
      <c r="U23" s="846"/>
      <c r="V23" s="254" t="str">
        <f t="shared" si="19"/>
        <v xml:space="preserve"> </v>
      </c>
      <c r="W23" s="256" t="str">
        <f t="shared" si="20"/>
        <v xml:space="preserve"> </v>
      </c>
      <c r="X23" s="136"/>
      <c r="Y23" s="258"/>
      <c r="Z23" s="259"/>
      <c r="AA23" s="259"/>
      <c r="AB23" s="157">
        <f t="shared" si="8"/>
        <v>0</v>
      </c>
      <c r="AC23" s="303">
        <f t="shared" si="9"/>
        <v>0</v>
      </c>
      <c r="AD23" s="837"/>
      <c r="AE23" s="264">
        <f t="shared" si="16"/>
        <v>1</v>
      </c>
      <c r="AG23" s="4">
        <f t="shared" si="10"/>
        <v>0</v>
      </c>
      <c r="AH23" s="4">
        <f t="shared" si="11"/>
        <v>0</v>
      </c>
      <c r="AJ23" s="4">
        <f t="shared" si="12"/>
        <v>0</v>
      </c>
      <c r="AK23" s="4">
        <f t="shared" si="13"/>
        <v>0</v>
      </c>
      <c r="AM23" s="4">
        <f t="shared" si="14"/>
        <v>0</v>
      </c>
      <c r="AN23" s="4">
        <f t="shared" si="14"/>
        <v>0</v>
      </c>
      <c r="AO23" s="4">
        <f t="shared" si="17"/>
        <v>0</v>
      </c>
    </row>
    <row r="24" spans="1:41" ht="16.5" customHeight="1" thickTop="1" thickBot="1" x14ac:dyDescent="0.3">
      <c r="A24" s="910"/>
      <c r="B24" s="226"/>
      <c r="C24" s="227"/>
      <c r="D24" s="875"/>
      <c r="E24" s="224">
        <f t="shared" si="0"/>
        <v>0</v>
      </c>
      <c r="F24" s="223" t="str">
        <f t="shared" si="1"/>
        <v xml:space="preserve">n/a </v>
      </c>
      <c r="G24" s="224" t="str">
        <f t="shared" si="2"/>
        <v>n/a</v>
      </c>
      <c r="H24" s="398">
        <f t="shared" si="18"/>
        <v>0</v>
      </c>
      <c r="I24" s="223">
        <f t="shared" si="3"/>
        <v>0.28000000000000003</v>
      </c>
      <c r="J24" s="398">
        <f t="shared" si="4"/>
        <v>0</v>
      </c>
      <c r="K24" s="513">
        <f t="shared" si="5"/>
        <v>0</v>
      </c>
      <c r="L24" s="25"/>
      <c r="M24" s="25"/>
      <c r="N24" s="836">
        <v>12</v>
      </c>
      <c r="O24" s="876" t="s">
        <v>60</v>
      </c>
      <c r="P24" s="637">
        <f t="shared" si="6"/>
        <v>1</v>
      </c>
      <c r="Q24" s="866"/>
      <c r="R24" s="877" t="s">
        <v>60</v>
      </c>
      <c r="S24" s="248" t="str">
        <f t="shared" si="7"/>
        <v xml:space="preserve"> </v>
      </c>
      <c r="T24" s="250" t="str">
        <f t="shared" si="15"/>
        <v xml:space="preserve"> </v>
      </c>
      <c r="U24" s="846"/>
      <c r="V24" s="254" t="str">
        <f t="shared" si="19"/>
        <v xml:space="preserve"> </v>
      </c>
      <c r="W24" s="256" t="str">
        <f t="shared" si="20"/>
        <v xml:space="preserve"> </v>
      </c>
      <c r="X24" s="136"/>
      <c r="Y24" s="258"/>
      <c r="Z24" s="259"/>
      <c r="AA24" s="259"/>
      <c r="AB24" s="157">
        <f t="shared" si="8"/>
        <v>0</v>
      </c>
      <c r="AC24" s="303">
        <f t="shared" si="9"/>
        <v>0</v>
      </c>
      <c r="AD24" s="837"/>
      <c r="AE24" s="264">
        <f t="shared" si="16"/>
        <v>1</v>
      </c>
      <c r="AG24" s="4">
        <f t="shared" si="10"/>
        <v>0</v>
      </c>
      <c r="AH24" s="4">
        <f t="shared" si="11"/>
        <v>0</v>
      </c>
      <c r="AJ24" s="4">
        <f t="shared" si="12"/>
        <v>0</v>
      </c>
      <c r="AK24" s="4">
        <f t="shared" si="13"/>
        <v>0</v>
      </c>
      <c r="AM24" s="4">
        <f t="shared" si="14"/>
        <v>0</v>
      </c>
      <c r="AN24" s="4">
        <f t="shared" si="14"/>
        <v>0</v>
      </c>
      <c r="AO24" s="4">
        <f t="shared" si="17"/>
        <v>0</v>
      </c>
    </row>
    <row r="25" spans="1:41" ht="16.5" customHeight="1" thickTop="1" thickBot="1" x14ac:dyDescent="0.3">
      <c r="A25" s="910"/>
      <c r="B25" s="226"/>
      <c r="C25" s="227"/>
      <c r="D25" s="875"/>
      <c r="E25" s="224">
        <f t="shared" si="0"/>
        <v>0</v>
      </c>
      <c r="F25" s="223" t="str">
        <f t="shared" si="1"/>
        <v xml:space="preserve">n/a </v>
      </c>
      <c r="G25" s="224" t="str">
        <f t="shared" si="2"/>
        <v>n/a</v>
      </c>
      <c r="H25" s="398">
        <f t="shared" si="18"/>
        <v>0</v>
      </c>
      <c r="I25" s="223">
        <f t="shared" si="3"/>
        <v>0.28000000000000003</v>
      </c>
      <c r="J25" s="398">
        <f t="shared" si="4"/>
        <v>0</v>
      </c>
      <c r="K25" s="513">
        <f t="shared" si="5"/>
        <v>0</v>
      </c>
      <c r="L25" s="25"/>
      <c r="M25" s="25"/>
      <c r="N25" s="836">
        <v>12</v>
      </c>
      <c r="O25" s="876" t="s">
        <v>60</v>
      </c>
      <c r="P25" s="637">
        <f t="shared" si="6"/>
        <v>1</v>
      </c>
      <c r="Q25" s="866"/>
      <c r="R25" s="877" t="s">
        <v>60</v>
      </c>
      <c r="S25" s="248" t="str">
        <f t="shared" si="7"/>
        <v xml:space="preserve"> </v>
      </c>
      <c r="T25" s="250" t="str">
        <f t="shared" si="15"/>
        <v xml:space="preserve"> </v>
      </c>
      <c r="U25" s="846"/>
      <c r="V25" s="254" t="str">
        <f t="shared" si="19"/>
        <v xml:space="preserve"> </v>
      </c>
      <c r="W25" s="256" t="str">
        <f t="shared" si="20"/>
        <v xml:space="preserve"> </v>
      </c>
      <c r="X25" s="136"/>
      <c r="Y25" s="258"/>
      <c r="Z25" s="259"/>
      <c r="AA25" s="259"/>
      <c r="AB25" s="157">
        <f t="shared" si="8"/>
        <v>0</v>
      </c>
      <c r="AC25" s="303">
        <f t="shared" si="9"/>
        <v>0</v>
      </c>
      <c r="AD25" s="837"/>
      <c r="AE25" s="264">
        <f t="shared" si="16"/>
        <v>1</v>
      </c>
      <c r="AG25" s="4">
        <f t="shared" si="10"/>
        <v>0</v>
      </c>
      <c r="AH25" s="4">
        <f t="shared" si="11"/>
        <v>0</v>
      </c>
      <c r="AJ25" s="4">
        <f t="shared" si="12"/>
        <v>0</v>
      </c>
      <c r="AK25" s="4">
        <f t="shared" si="13"/>
        <v>0</v>
      </c>
      <c r="AM25" s="4">
        <f t="shared" si="14"/>
        <v>0</v>
      </c>
      <c r="AN25" s="4">
        <f t="shared" si="14"/>
        <v>0</v>
      </c>
      <c r="AO25" s="4">
        <f t="shared" si="17"/>
        <v>0</v>
      </c>
    </row>
    <row r="26" spans="1:41" ht="16.5" customHeight="1" thickTop="1" thickBot="1" x14ac:dyDescent="0.3">
      <c r="A26" s="910"/>
      <c r="B26" s="226"/>
      <c r="C26" s="227"/>
      <c r="D26" s="875"/>
      <c r="E26" s="224">
        <f t="shared" si="0"/>
        <v>0</v>
      </c>
      <c r="F26" s="223" t="str">
        <f t="shared" si="1"/>
        <v xml:space="preserve">n/a </v>
      </c>
      <c r="G26" s="224" t="str">
        <f t="shared" si="2"/>
        <v>n/a</v>
      </c>
      <c r="H26" s="398">
        <f t="shared" si="18"/>
        <v>0</v>
      </c>
      <c r="I26" s="223">
        <f t="shared" si="3"/>
        <v>0.28000000000000003</v>
      </c>
      <c r="J26" s="398">
        <f t="shared" si="4"/>
        <v>0</v>
      </c>
      <c r="K26" s="513">
        <f t="shared" si="5"/>
        <v>0</v>
      </c>
      <c r="L26" s="25"/>
      <c r="M26" s="25"/>
      <c r="N26" s="836">
        <v>12</v>
      </c>
      <c r="O26" s="876" t="s">
        <v>60</v>
      </c>
      <c r="P26" s="637">
        <f t="shared" si="6"/>
        <v>1</v>
      </c>
      <c r="Q26" s="866"/>
      <c r="R26" s="877" t="s">
        <v>60</v>
      </c>
      <c r="S26" s="248" t="str">
        <f t="shared" si="7"/>
        <v xml:space="preserve"> </v>
      </c>
      <c r="T26" s="250" t="str">
        <f t="shared" si="15"/>
        <v xml:space="preserve"> </v>
      </c>
      <c r="U26" s="846"/>
      <c r="V26" s="254" t="str">
        <f t="shared" si="19"/>
        <v xml:space="preserve"> </v>
      </c>
      <c r="W26" s="256" t="str">
        <f t="shared" si="20"/>
        <v xml:space="preserve"> </v>
      </c>
      <c r="X26" s="136"/>
      <c r="Y26" s="258"/>
      <c r="Z26" s="259"/>
      <c r="AA26" s="259"/>
      <c r="AB26" s="157">
        <f t="shared" si="8"/>
        <v>0</v>
      </c>
      <c r="AC26" s="303">
        <f t="shared" si="9"/>
        <v>0</v>
      </c>
      <c r="AD26" s="837"/>
      <c r="AE26" s="264">
        <f t="shared" si="16"/>
        <v>1</v>
      </c>
      <c r="AG26" s="4">
        <f t="shared" si="10"/>
        <v>0</v>
      </c>
      <c r="AH26" s="4">
        <f t="shared" si="11"/>
        <v>0</v>
      </c>
      <c r="AJ26" s="4">
        <f t="shared" si="12"/>
        <v>0</v>
      </c>
      <c r="AK26" s="4">
        <f t="shared" si="13"/>
        <v>0</v>
      </c>
      <c r="AM26" s="4">
        <f t="shared" si="14"/>
        <v>0</v>
      </c>
      <c r="AN26" s="4">
        <f t="shared" si="14"/>
        <v>0</v>
      </c>
      <c r="AO26" s="4">
        <f t="shared" si="17"/>
        <v>0</v>
      </c>
    </row>
    <row r="27" spans="1:41" ht="16.5" customHeight="1" thickTop="1" x14ac:dyDescent="0.25">
      <c r="A27" s="910"/>
      <c r="B27" s="226"/>
      <c r="C27" s="227"/>
      <c r="D27" s="229"/>
      <c r="E27" s="224">
        <f t="shared" si="0"/>
        <v>0</v>
      </c>
      <c r="F27" s="223" t="str">
        <f t="shared" si="1"/>
        <v xml:space="preserve">n/a </v>
      </c>
      <c r="G27" s="224" t="str">
        <f t="shared" si="2"/>
        <v>n/a</v>
      </c>
      <c r="H27" s="398">
        <f t="shared" si="18"/>
        <v>0</v>
      </c>
      <c r="I27" s="223">
        <f t="shared" si="3"/>
        <v>0.28000000000000003</v>
      </c>
      <c r="J27" s="398">
        <f t="shared" si="4"/>
        <v>0</v>
      </c>
      <c r="K27" s="513">
        <f t="shared" si="5"/>
        <v>0</v>
      </c>
      <c r="L27" s="25"/>
      <c r="M27" s="25"/>
      <c r="N27" s="847">
        <v>12</v>
      </c>
      <c r="O27" s="878" t="s">
        <v>60</v>
      </c>
      <c r="P27" s="638">
        <f t="shared" si="6"/>
        <v>1</v>
      </c>
      <c r="Q27" s="866"/>
      <c r="R27" s="879" t="s">
        <v>60</v>
      </c>
      <c r="S27" s="252" t="str">
        <f t="shared" si="7"/>
        <v xml:space="preserve"> </v>
      </c>
      <c r="T27" s="253" t="str">
        <f t="shared" si="15"/>
        <v xml:space="preserve"> </v>
      </c>
      <c r="U27" s="848"/>
      <c r="V27" s="257" t="str">
        <f t="shared" si="19"/>
        <v xml:space="preserve"> </v>
      </c>
      <c r="W27" s="256" t="str">
        <f t="shared" si="20"/>
        <v xml:space="preserve"> </v>
      </c>
      <c r="X27" s="136"/>
      <c r="Y27" s="258"/>
      <c r="Z27" s="259"/>
      <c r="AA27" s="259"/>
      <c r="AB27" s="157">
        <f t="shared" si="8"/>
        <v>0</v>
      </c>
      <c r="AC27" s="303">
        <f t="shared" si="9"/>
        <v>0</v>
      </c>
      <c r="AD27" s="837"/>
      <c r="AE27" s="264">
        <f t="shared" si="16"/>
        <v>1</v>
      </c>
      <c r="AG27" s="4">
        <f t="shared" si="10"/>
        <v>0</v>
      </c>
      <c r="AH27" s="4">
        <f t="shared" si="11"/>
        <v>0</v>
      </c>
      <c r="AJ27" s="4">
        <f t="shared" si="12"/>
        <v>0</v>
      </c>
      <c r="AK27" s="4">
        <f t="shared" si="13"/>
        <v>0</v>
      </c>
      <c r="AM27" s="4">
        <f t="shared" si="14"/>
        <v>0</v>
      </c>
      <c r="AN27" s="4">
        <f t="shared" si="14"/>
        <v>0</v>
      </c>
      <c r="AO27" s="4">
        <f t="shared" si="17"/>
        <v>0</v>
      </c>
    </row>
    <row r="28" spans="1:41" ht="14.4" x14ac:dyDescent="0.25">
      <c r="A28" s="293"/>
      <c r="B28" s="294"/>
      <c r="C28" s="295"/>
      <c r="D28" s="295"/>
      <c r="E28" s="296"/>
      <c r="F28" s="296"/>
      <c r="G28" s="296" t="s">
        <v>222</v>
      </c>
      <c r="H28" s="297" t="s">
        <v>138</v>
      </c>
      <c r="I28" s="297"/>
      <c r="J28" s="297">
        <v>0</v>
      </c>
      <c r="K28" s="117">
        <f>I28+J28</f>
        <v>0</v>
      </c>
      <c r="L28" s="25"/>
      <c r="M28" s="25"/>
      <c r="N28" s="423"/>
      <c r="O28" s="424"/>
      <c r="P28" s="262"/>
      <c r="Q28" s="866"/>
      <c r="R28" s="866"/>
      <c r="S28" s="866"/>
      <c r="T28" s="866"/>
      <c r="U28" s="866"/>
      <c r="V28" s="866"/>
      <c r="W28" s="866"/>
      <c r="X28" s="13"/>
      <c r="Y28" s="260"/>
      <c r="Z28" s="261"/>
      <c r="AA28" s="259"/>
      <c r="AB28" s="262"/>
      <c r="AC28" s="263">
        <v>0</v>
      </c>
      <c r="AD28" s="263">
        <v>0</v>
      </c>
      <c r="AE28" s="273"/>
      <c r="AG28" s="103" t="s">
        <v>138</v>
      </c>
      <c r="AH28" s="103" t="s">
        <v>138</v>
      </c>
      <c r="AJ28" s="103" t="s">
        <v>138</v>
      </c>
      <c r="AK28" s="103" t="s">
        <v>138</v>
      </c>
      <c r="AM28" s="103">
        <v>0</v>
      </c>
      <c r="AN28" s="103">
        <v>0</v>
      </c>
      <c r="AO28" s="50">
        <f t="shared" si="17"/>
        <v>0</v>
      </c>
    </row>
    <row r="29" spans="1:41" ht="16.5" customHeight="1" thickBot="1" x14ac:dyDescent="0.3">
      <c r="A29" s="910" t="s">
        <v>9</v>
      </c>
      <c r="B29" s="300"/>
      <c r="C29" s="301"/>
      <c r="D29" s="301"/>
      <c r="E29" s="301"/>
      <c r="F29" s="301"/>
      <c r="G29" s="301"/>
      <c r="H29" s="298">
        <f>SUM(H20:H28)</f>
        <v>0</v>
      </c>
      <c r="I29" s="336"/>
      <c r="J29" s="298">
        <f>SUM(J20:J28)</f>
        <v>0</v>
      </c>
      <c r="K29" s="299">
        <f>SUM(K20:K28)</f>
        <v>0</v>
      </c>
      <c r="L29" s="175"/>
      <c r="M29" s="175"/>
      <c r="N29" s="866"/>
      <c r="O29" s="866"/>
      <c r="P29" s="866"/>
      <c r="Q29" s="866"/>
      <c r="R29" s="866"/>
      <c r="S29" s="866"/>
      <c r="T29" s="866"/>
      <c r="U29" s="866"/>
      <c r="V29" s="866"/>
      <c r="W29" s="866"/>
      <c r="X29" s="13"/>
      <c r="Y29" s="271"/>
      <c r="Z29" s="272"/>
      <c r="AA29" s="272"/>
      <c r="AB29" s="262"/>
      <c r="AC29" s="262"/>
      <c r="AD29" s="272"/>
      <c r="AE29" s="273"/>
      <c r="AG29" s="121">
        <f>SUM(AG20:AG28)</f>
        <v>0</v>
      </c>
      <c r="AH29" s="121">
        <f>SUM(AH20:AH28)</f>
        <v>0</v>
      </c>
      <c r="AJ29" s="121">
        <f>SUM(AJ20:AJ28)</f>
        <v>0</v>
      </c>
      <c r="AK29" s="121">
        <f>SUM(AK20:AK28)</f>
        <v>0</v>
      </c>
      <c r="AM29" s="4">
        <f>SUM(AM20:AM28)</f>
        <v>0</v>
      </c>
      <c r="AN29" s="4">
        <f>SUM(AN20:AN28)</f>
        <v>0</v>
      </c>
      <c r="AO29" s="121">
        <f>SUM(AO20:AO28)</f>
        <v>0</v>
      </c>
    </row>
    <row r="30" spans="1:41" ht="16.5" customHeight="1" x14ac:dyDescent="0.25">
      <c r="A30" s="910"/>
      <c r="B30" s="226"/>
      <c r="C30" s="301"/>
      <c r="D30" s="301"/>
      <c r="E30" s="301"/>
      <c r="F30" s="301"/>
      <c r="G30" s="301"/>
      <c r="H30" s="301"/>
      <c r="I30" s="301"/>
      <c r="J30" s="301"/>
      <c r="K30" s="338"/>
      <c r="L30" s="180"/>
      <c r="M30" s="180"/>
      <c r="N30" s="866"/>
      <c r="O30" s="866"/>
      <c r="P30" s="866"/>
      <c r="Q30" s="866"/>
      <c r="R30" s="866"/>
      <c r="S30" s="866"/>
      <c r="T30" s="866"/>
      <c r="U30" s="866"/>
      <c r="V30" s="866"/>
      <c r="W30" s="866"/>
      <c r="X30" s="13"/>
      <c r="Y30" s="271"/>
      <c r="Z30" s="272"/>
      <c r="AA30" s="272"/>
      <c r="AB30" s="262"/>
      <c r="AC30" s="262"/>
      <c r="AD30" s="272"/>
      <c r="AE30" s="273"/>
      <c r="AM30" s="126"/>
      <c r="AN30" s="121"/>
    </row>
    <row r="31" spans="1:41" ht="16.5" customHeight="1" x14ac:dyDescent="0.25">
      <c r="A31" s="341" t="s">
        <v>120</v>
      </c>
      <c r="B31" s="342"/>
      <c r="C31" s="301"/>
      <c r="D31" s="301"/>
      <c r="E31" s="337" t="s">
        <v>159</v>
      </c>
      <c r="F31" s="301"/>
      <c r="G31" s="301"/>
      <c r="H31" s="301"/>
      <c r="I31" s="301"/>
      <c r="J31" s="301"/>
      <c r="K31" s="903" t="s">
        <v>160</v>
      </c>
      <c r="L31" s="181"/>
      <c r="M31" s="181"/>
      <c r="N31" s="866"/>
      <c r="O31" s="866"/>
      <c r="P31" s="866"/>
      <c r="Q31" s="866"/>
      <c r="R31" s="866"/>
      <c r="S31" s="866"/>
      <c r="T31" s="866"/>
      <c r="U31" s="866"/>
      <c r="V31" s="866"/>
      <c r="W31" s="866"/>
      <c r="X31" s="13"/>
      <c r="Y31" s="271"/>
      <c r="Z31" s="272"/>
      <c r="AA31" s="272"/>
      <c r="AB31" s="262"/>
      <c r="AC31" s="262"/>
      <c r="AD31" s="272"/>
      <c r="AE31" s="273"/>
    </row>
    <row r="32" spans="1:41" ht="16.5" customHeight="1" x14ac:dyDescent="0.25">
      <c r="A32" s="910"/>
      <c r="B32" s="226"/>
      <c r="C32" s="301"/>
      <c r="D32" s="301"/>
      <c r="E32" s="227"/>
      <c r="F32" s="261"/>
      <c r="G32" s="261"/>
      <c r="H32" s="301"/>
      <c r="I32" s="301"/>
      <c r="J32" s="301"/>
      <c r="K32" s="227"/>
      <c r="L32" s="25"/>
      <c r="M32" s="25"/>
      <c r="N32" s="866"/>
      <c r="O32" s="866"/>
      <c r="P32" s="866"/>
      <c r="Q32" s="866"/>
      <c r="R32" s="866"/>
      <c r="S32" s="866"/>
      <c r="T32" s="866"/>
      <c r="U32" s="866"/>
      <c r="V32" s="866"/>
      <c r="W32" s="866"/>
      <c r="X32" s="13"/>
      <c r="Y32" s="271"/>
      <c r="Z32" s="272"/>
      <c r="AA32" s="272"/>
      <c r="AB32" s="262"/>
      <c r="AC32" s="262"/>
      <c r="AD32" s="272"/>
      <c r="AE32" s="273"/>
    </row>
    <row r="33" spans="1:41" ht="16.5" customHeight="1" x14ac:dyDescent="0.25">
      <c r="A33" s="910"/>
      <c r="B33" s="226"/>
      <c r="C33" s="301"/>
      <c r="D33" s="301"/>
      <c r="E33" s="227"/>
      <c r="F33" s="261"/>
      <c r="G33" s="261"/>
      <c r="H33" s="301"/>
      <c r="I33" s="301"/>
      <c r="J33" s="301"/>
      <c r="K33" s="339"/>
      <c r="L33" s="25"/>
      <c r="M33" s="25"/>
      <c r="N33" s="866"/>
      <c r="O33" s="866"/>
      <c r="P33" s="866"/>
      <c r="Q33" s="866"/>
      <c r="R33" s="866"/>
      <c r="S33" s="866"/>
      <c r="T33" s="866"/>
      <c r="U33" s="866"/>
      <c r="V33" s="866"/>
      <c r="W33" s="866"/>
      <c r="X33" s="13"/>
      <c r="Y33" s="271"/>
      <c r="Z33" s="272"/>
      <c r="AA33" s="272"/>
      <c r="AB33" s="262"/>
      <c r="AC33" s="262"/>
      <c r="AD33" s="272"/>
      <c r="AE33" s="273"/>
    </row>
    <row r="34" spans="1:41" ht="16.5" customHeight="1" thickBot="1" x14ac:dyDescent="0.35">
      <c r="A34" s="574" t="s">
        <v>121</v>
      </c>
      <c r="B34" s="574"/>
      <c r="C34" s="574"/>
      <c r="D34" s="574"/>
      <c r="E34" s="574"/>
      <c r="F34" s="574"/>
      <c r="G34" s="574"/>
      <c r="H34" s="574"/>
      <c r="I34" s="574"/>
      <c r="J34" s="651"/>
      <c r="K34" s="299">
        <f>SUM(E32:E33)+SUM(K32:K33)</f>
        <v>0</v>
      </c>
      <c r="L34" s="175"/>
      <c r="M34" s="175"/>
      <c r="N34" s="425" t="s">
        <v>45</v>
      </c>
      <c r="O34" s="425"/>
      <c r="P34" s="866"/>
      <c r="Q34" s="866"/>
      <c r="R34" s="866"/>
      <c r="S34" s="866"/>
      <c r="T34" s="866"/>
      <c r="U34" s="866"/>
      <c r="V34" s="866"/>
      <c r="W34" s="866"/>
      <c r="X34" s="13"/>
      <c r="Y34" s="274" t="s">
        <v>168</v>
      </c>
      <c r="Z34" s="272" t="s">
        <v>203</v>
      </c>
      <c r="AA34" s="272" t="s">
        <v>204</v>
      </c>
      <c r="AB34" s="262"/>
      <c r="AC34" s="275" t="s">
        <v>168</v>
      </c>
      <c r="AD34" s="272" t="s">
        <v>203</v>
      </c>
      <c r="AE34" s="273" t="s">
        <v>204</v>
      </c>
      <c r="AG34" s="64" t="s">
        <v>168</v>
      </c>
    </row>
    <row r="35" spans="1:41" ht="16.5" customHeight="1" x14ac:dyDescent="0.25">
      <c r="A35" s="910"/>
      <c r="B35" s="226"/>
      <c r="C35" s="301"/>
      <c r="D35" s="340"/>
      <c r="E35" s="301"/>
      <c r="F35" s="261"/>
      <c r="G35" s="261"/>
      <c r="H35" s="301"/>
      <c r="I35" s="301"/>
      <c r="J35" s="301"/>
      <c r="K35" s="338"/>
      <c r="L35" s="180"/>
      <c r="M35" s="180"/>
      <c r="N35" s="866"/>
      <c r="O35" s="866"/>
      <c r="P35" s="866"/>
      <c r="Q35" s="866"/>
      <c r="R35" s="866"/>
      <c r="S35" s="866"/>
      <c r="T35" s="866"/>
      <c r="U35" s="866"/>
      <c r="V35" s="866"/>
      <c r="W35" s="866"/>
      <c r="X35" s="13"/>
      <c r="Y35" s="274" t="s">
        <v>167</v>
      </c>
      <c r="Z35" s="278" t="s">
        <v>136</v>
      </c>
      <c r="AA35" s="278" t="s">
        <v>137</v>
      </c>
      <c r="AB35" s="262"/>
      <c r="AC35" s="275" t="s">
        <v>167</v>
      </c>
      <c r="AD35" s="278" t="s">
        <v>136</v>
      </c>
      <c r="AE35" s="279" t="s">
        <v>137</v>
      </c>
      <c r="AG35" s="64"/>
    </row>
    <row r="36" spans="1:41" ht="16.5" customHeight="1" x14ac:dyDescent="0.25">
      <c r="A36" s="341" t="s">
        <v>13</v>
      </c>
      <c r="B36" s="342"/>
      <c r="C36" s="301"/>
      <c r="D36" s="301"/>
      <c r="E36" s="902" t="s">
        <v>159</v>
      </c>
      <c r="F36" s="261"/>
      <c r="G36" s="261"/>
      <c r="H36" s="301"/>
      <c r="I36" s="301"/>
      <c r="J36" s="301"/>
      <c r="K36" s="903" t="s">
        <v>160</v>
      </c>
      <c r="L36" s="181"/>
      <c r="M36" s="181"/>
      <c r="N36" s="866"/>
      <c r="O36" s="866"/>
      <c r="P36" s="866"/>
      <c r="Q36" s="866"/>
      <c r="R36" s="866"/>
      <c r="S36" s="866"/>
      <c r="T36" s="866"/>
      <c r="U36" s="866"/>
      <c r="V36" s="866"/>
      <c r="W36" s="866"/>
      <c r="Y36" s="1463" t="s">
        <v>159</v>
      </c>
      <c r="Z36" s="1464"/>
      <c r="AA36" s="1464"/>
      <c r="AB36" s="262"/>
      <c r="AC36" s="1465" t="s">
        <v>160</v>
      </c>
      <c r="AD36" s="1465"/>
      <c r="AE36" s="1466"/>
      <c r="AG36" s="1472" t="s">
        <v>159</v>
      </c>
      <c r="AH36" s="1472"/>
      <c r="AJ36" s="1473" t="s">
        <v>160</v>
      </c>
      <c r="AK36" s="1473"/>
      <c r="AM36" s="1475" t="s">
        <v>161</v>
      </c>
      <c r="AN36" s="1475"/>
      <c r="AO36" s="1475"/>
    </row>
    <row r="37" spans="1:41" ht="16.5" customHeight="1" x14ac:dyDescent="0.25">
      <c r="A37" s="910"/>
      <c r="B37" s="226"/>
      <c r="C37" s="301"/>
      <c r="D37" s="866"/>
      <c r="E37" s="227"/>
      <c r="F37" s="261"/>
      <c r="G37" s="261"/>
      <c r="H37" s="301"/>
      <c r="I37" s="301"/>
      <c r="J37" s="301"/>
      <c r="K37" s="227"/>
      <c r="L37" s="25"/>
      <c r="M37" s="25"/>
      <c r="N37" s="866"/>
      <c r="O37" s="866"/>
      <c r="P37" s="866"/>
      <c r="Q37" s="866"/>
      <c r="R37" s="866"/>
      <c r="S37" s="866"/>
      <c r="T37" s="866"/>
      <c r="U37" s="866"/>
      <c r="V37" s="866"/>
      <c r="W37" s="866"/>
      <c r="Y37" s="643">
        <f>E37</f>
        <v>0</v>
      </c>
      <c r="Z37" s="837"/>
      <c r="AA37" s="495">
        <f>1-Z37</f>
        <v>1</v>
      </c>
      <c r="AB37" s="144"/>
      <c r="AC37" s="415">
        <f>K37</f>
        <v>0</v>
      </c>
      <c r="AD37" s="837"/>
      <c r="AE37" s="264">
        <f>1-AD37</f>
        <v>1</v>
      </c>
      <c r="AG37" s="4">
        <f>E37*Z37</f>
        <v>0</v>
      </c>
      <c r="AH37" s="4">
        <f>E37*AA37</f>
        <v>0</v>
      </c>
      <c r="AJ37" s="4">
        <f>K37*AD37</f>
        <v>0</v>
      </c>
      <c r="AK37" s="4">
        <f>K37*AE37</f>
        <v>0</v>
      </c>
      <c r="AM37" s="4">
        <f>AG37+AJ37</f>
        <v>0</v>
      </c>
      <c r="AN37" s="4">
        <f>AH37+AK37</f>
        <v>0</v>
      </c>
      <c r="AO37" s="4">
        <f>SUM(AM37:AN37)</f>
        <v>0</v>
      </c>
    </row>
    <row r="38" spans="1:41" ht="16.5" customHeight="1" x14ac:dyDescent="0.25">
      <c r="A38" s="910"/>
      <c r="B38" s="226"/>
      <c r="C38" s="301"/>
      <c r="D38" s="866"/>
      <c r="E38" s="227"/>
      <c r="F38" s="261"/>
      <c r="G38" s="261"/>
      <c r="H38" s="301"/>
      <c r="I38" s="343"/>
      <c r="J38" s="296" t="s">
        <v>223</v>
      </c>
      <c r="K38" s="382">
        <v>0</v>
      </c>
      <c r="L38" s="25"/>
      <c r="M38" s="25"/>
      <c r="N38" s="866"/>
      <c r="O38" s="866"/>
      <c r="P38" s="866"/>
      <c r="Q38" s="866"/>
      <c r="R38" s="866"/>
      <c r="S38" s="866"/>
      <c r="T38" s="866"/>
      <c r="U38" s="866"/>
      <c r="V38" s="866"/>
      <c r="W38" s="866"/>
      <c r="Y38" s="643">
        <f>E38</f>
        <v>0</v>
      </c>
      <c r="Z38" s="837"/>
      <c r="AA38" s="495">
        <f>1-Z38</f>
        <v>1</v>
      </c>
      <c r="AB38" s="144"/>
      <c r="AC38" s="263">
        <v>0</v>
      </c>
      <c r="AD38" s="263">
        <v>0</v>
      </c>
      <c r="AE38" s="142"/>
      <c r="AG38" s="50">
        <f>E38*Z38</f>
        <v>0</v>
      </c>
      <c r="AH38" s="50">
        <f>E38*AA38</f>
        <v>0</v>
      </c>
      <c r="AI38" s="9"/>
      <c r="AJ38" s="103">
        <v>0</v>
      </c>
      <c r="AK38" s="103">
        <v>0</v>
      </c>
      <c r="AM38" s="50">
        <f>AG38+AJ38</f>
        <v>0</v>
      </c>
      <c r="AN38" s="50">
        <f>AH38+AK38</f>
        <v>0</v>
      </c>
      <c r="AO38" s="50">
        <f t="shared" ref="AO38:AO39" si="21">SUM(AM38:AN38)</f>
        <v>0</v>
      </c>
    </row>
    <row r="39" spans="1:41" ht="16.5" customHeight="1" thickBot="1" x14ac:dyDescent="0.3">
      <c r="A39" s="574" t="s">
        <v>14</v>
      </c>
      <c r="B39" s="574"/>
      <c r="C39" s="574"/>
      <c r="D39" s="574"/>
      <c r="E39" s="574"/>
      <c r="F39" s="574"/>
      <c r="G39" s="574"/>
      <c r="H39" s="574"/>
      <c r="I39" s="574"/>
      <c r="J39" s="651"/>
      <c r="K39" s="383">
        <f>SUM(E37:E38)+SUM(K37:K38)</f>
        <v>0</v>
      </c>
      <c r="L39" s="174"/>
      <c r="M39" s="174"/>
      <c r="N39" s="866"/>
      <c r="O39" s="866"/>
      <c r="P39" s="866"/>
      <c r="Q39" s="866"/>
      <c r="R39" s="866"/>
      <c r="S39" s="866"/>
      <c r="T39" s="866"/>
      <c r="U39" s="866"/>
      <c r="V39" s="866"/>
      <c r="W39" s="866"/>
      <c r="Y39" s="146"/>
      <c r="Z39" s="124"/>
      <c r="AA39" s="124"/>
      <c r="AB39" s="144"/>
      <c r="AC39" s="144"/>
      <c r="AD39" s="124"/>
      <c r="AE39" s="142"/>
      <c r="AG39" s="4">
        <f>SUM(AG37:AG38)</f>
        <v>0</v>
      </c>
      <c r="AH39" s="4">
        <f t="shared" ref="AH39:AK39" si="22">SUM(AH37:AH38)</f>
        <v>0</v>
      </c>
      <c r="AI39" s="4"/>
      <c r="AJ39" s="4">
        <f t="shared" si="22"/>
        <v>0</v>
      </c>
      <c r="AK39" s="4">
        <f t="shared" si="22"/>
        <v>0</v>
      </c>
      <c r="AM39" s="4">
        <f>SUM(AM37:AM38)</f>
        <v>0</v>
      </c>
      <c r="AN39" s="4">
        <f>SUM(AN37:AN38)</f>
        <v>0</v>
      </c>
      <c r="AO39" s="121">
        <f t="shared" si="21"/>
        <v>0</v>
      </c>
    </row>
    <row r="40" spans="1:41" ht="16.5" customHeight="1" x14ac:dyDescent="0.25">
      <c r="A40" s="910"/>
      <c r="B40" s="226"/>
      <c r="C40" s="301"/>
      <c r="D40" s="301"/>
      <c r="E40" s="301"/>
      <c r="F40" s="261"/>
      <c r="G40" s="261"/>
      <c r="H40" s="301"/>
      <c r="I40" s="301"/>
      <c r="J40" s="301"/>
      <c r="K40" s="338"/>
      <c r="L40" s="180"/>
      <c r="M40" s="180"/>
      <c r="N40" s="866"/>
      <c r="O40" s="866"/>
      <c r="P40" s="866"/>
      <c r="Q40" s="866"/>
      <c r="R40" s="866"/>
      <c r="S40" s="866"/>
      <c r="T40" s="866"/>
      <c r="U40" s="866"/>
      <c r="V40" s="866"/>
      <c r="W40" s="866"/>
      <c r="Y40" s="116" t="s">
        <v>169</v>
      </c>
      <c r="Z40" s="124" t="s">
        <v>203</v>
      </c>
      <c r="AA40" s="124" t="s">
        <v>204</v>
      </c>
      <c r="AB40" s="144"/>
      <c r="AC40" s="10" t="s">
        <v>169</v>
      </c>
      <c r="AD40" s="124" t="s">
        <v>203</v>
      </c>
      <c r="AE40" s="142" t="s">
        <v>204</v>
      </c>
      <c r="AG40" s="10" t="s">
        <v>169</v>
      </c>
      <c r="AM40" s="126"/>
      <c r="AN40" s="121"/>
    </row>
    <row r="41" spans="1:41" ht="16.5" customHeight="1" x14ac:dyDescent="0.25">
      <c r="A41" s="344" t="s">
        <v>10</v>
      </c>
      <c r="B41" s="342"/>
      <c r="C41" s="301"/>
      <c r="D41" s="301"/>
      <c r="E41" s="337" t="s">
        <v>159</v>
      </c>
      <c r="F41" s="261"/>
      <c r="G41" s="261"/>
      <c r="H41" s="301"/>
      <c r="I41" s="301"/>
      <c r="J41" s="301"/>
      <c r="K41" s="903" t="s">
        <v>160</v>
      </c>
      <c r="L41" s="181"/>
      <c r="M41" s="181"/>
      <c r="N41" s="866"/>
      <c r="O41" s="866"/>
      <c r="P41" s="866"/>
      <c r="Q41" s="866"/>
      <c r="R41" s="866"/>
      <c r="S41" s="866"/>
      <c r="T41" s="866"/>
      <c r="U41" s="866"/>
      <c r="V41" s="866"/>
      <c r="W41" s="866"/>
      <c r="Y41" s="116" t="s">
        <v>167</v>
      </c>
      <c r="Z41" s="100" t="s">
        <v>136</v>
      </c>
      <c r="AA41" s="100" t="s">
        <v>137</v>
      </c>
      <c r="AB41" s="144"/>
      <c r="AC41" s="10" t="s">
        <v>167</v>
      </c>
      <c r="AD41" s="100" t="s">
        <v>136</v>
      </c>
      <c r="AE41" s="143" t="s">
        <v>137</v>
      </c>
      <c r="AG41" s="10"/>
    </row>
    <row r="42" spans="1:41" ht="16.5" customHeight="1" x14ac:dyDescent="0.25">
      <c r="A42" s="910"/>
      <c r="B42" s="226"/>
      <c r="C42" s="301"/>
      <c r="D42" s="866"/>
      <c r="E42" s="227"/>
      <c r="F42" s="261"/>
      <c r="G42" s="261"/>
      <c r="H42" s="301"/>
      <c r="I42" s="301"/>
      <c r="J42" s="301"/>
      <c r="K42" s="227"/>
      <c r="L42" s="25"/>
      <c r="M42" s="25"/>
      <c r="N42" s="866"/>
      <c r="O42" s="866"/>
      <c r="P42" s="866"/>
      <c r="Q42" s="866"/>
      <c r="R42" s="866"/>
      <c r="S42" s="866"/>
      <c r="T42" s="866"/>
      <c r="U42" s="866"/>
      <c r="V42" s="866"/>
      <c r="W42" s="866"/>
      <c r="Y42" s="643">
        <f>E42</f>
        <v>0</v>
      </c>
      <c r="Z42" s="837"/>
      <c r="AA42" s="495">
        <f>1-Z42</f>
        <v>1</v>
      </c>
      <c r="AB42" s="144"/>
      <c r="AC42" s="644">
        <f>K42</f>
        <v>0</v>
      </c>
      <c r="AD42" s="837"/>
      <c r="AE42" s="264">
        <f>1-AD42</f>
        <v>1</v>
      </c>
      <c r="AG42" s="4">
        <f>E42*Z42</f>
        <v>0</v>
      </c>
      <c r="AH42" s="4">
        <f>E42*AA42</f>
        <v>0</v>
      </c>
      <c r="AJ42" s="4">
        <f>K42*AD42</f>
        <v>0</v>
      </c>
      <c r="AK42" s="4">
        <f>K42*AE42</f>
        <v>0</v>
      </c>
      <c r="AM42" s="4">
        <f>AG42+AJ42</f>
        <v>0</v>
      </c>
      <c r="AN42" s="4">
        <f>AH42+AK42</f>
        <v>0</v>
      </c>
      <c r="AO42" s="4">
        <f>SUM(AM42:AN42)</f>
        <v>0</v>
      </c>
    </row>
    <row r="43" spans="1:41" ht="16.5" customHeight="1" x14ac:dyDescent="0.25">
      <c r="A43" s="910"/>
      <c r="B43" s="226"/>
      <c r="C43" s="301"/>
      <c r="D43" s="866"/>
      <c r="E43" s="227"/>
      <c r="F43" s="261"/>
      <c r="G43" s="261"/>
      <c r="H43" s="301"/>
      <c r="I43" s="301"/>
      <c r="J43" s="301"/>
      <c r="K43" s="227"/>
      <c r="L43" s="25"/>
      <c r="M43" s="25"/>
      <c r="N43" s="866"/>
      <c r="O43" s="866"/>
      <c r="P43" s="866"/>
      <c r="Q43" s="866"/>
      <c r="R43" s="866"/>
      <c r="S43" s="866"/>
      <c r="T43" s="866"/>
      <c r="U43" s="866"/>
      <c r="V43" s="866"/>
      <c r="W43" s="866"/>
      <c r="Y43" s="643">
        <f>E43</f>
        <v>0</v>
      </c>
      <c r="Z43" s="837"/>
      <c r="AA43" s="495">
        <f t="shared" ref="AA43:AA44" si="23">1-Z43</f>
        <v>1</v>
      </c>
      <c r="AB43" s="144"/>
      <c r="AC43" s="644">
        <f>K43</f>
        <v>0</v>
      </c>
      <c r="AD43" s="837"/>
      <c r="AE43" s="264">
        <f>1-AD43</f>
        <v>1</v>
      </c>
      <c r="AG43" s="48">
        <f>E43*Z43</f>
        <v>0</v>
      </c>
      <c r="AH43" s="48">
        <f>E43*AA43</f>
        <v>0</v>
      </c>
      <c r="AI43" s="9"/>
      <c r="AJ43" s="4">
        <f>K43*AD43</f>
        <v>0</v>
      </c>
      <c r="AK43" s="4">
        <f>K43*AE43</f>
        <v>0</v>
      </c>
      <c r="AL43" s="9"/>
      <c r="AM43" s="4">
        <f t="shared" ref="AM43:AN44" si="24">AG43+AJ43</f>
        <v>0</v>
      </c>
      <c r="AN43" s="4">
        <f t="shared" si="24"/>
        <v>0</v>
      </c>
      <c r="AO43" s="4">
        <f t="shared" ref="AO43:AO45" si="25">SUM(AM43:AN43)</f>
        <v>0</v>
      </c>
    </row>
    <row r="44" spans="1:41" ht="16.5" customHeight="1" x14ac:dyDescent="0.25">
      <c r="A44" s="910"/>
      <c r="B44" s="226"/>
      <c r="C44" s="301"/>
      <c r="D44" s="866"/>
      <c r="E44" s="227"/>
      <c r="F44" s="261"/>
      <c r="G44" s="261"/>
      <c r="H44" s="301"/>
      <c r="I44" s="345"/>
      <c r="J44" s="296" t="s">
        <v>260</v>
      </c>
      <c r="K44" s="382">
        <v>0</v>
      </c>
      <c r="L44" s="25"/>
      <c r="M44" s="25"/>
      <c r="N44" s="866"/>
      <c r="O44" s="866"/>
      <c r="P44" s="866"/>
      <c r="Q44" s="866"/>
      <c r="R44" s="866"/>
      <c r="S44" s="866"/>
      <c r="T44" s="866"/>
      <c r="U44" s="866"/>
      <c r="V44" s="866"/>
      <c r="W44" s="866"/>
      <c r="Y44" s="643">
        <f>E44</f>
        <v>0</v>
      </c>
      <c r="Z44" s="837"/>
      <c r="AA44" s="495">
        <f t="shared" si="23"/>
        <v>1</v>
      </c>
      <c r="AB44" s="144"/>
      <c r="AC44" s="263">
        <v>0</v>
      </c>
      <c r="AD44" s="263">
        <v>0</v>
      </c>
      <c r="AE44" s="142"/>
      <c r="AG44" s="50">
        <f>E44*Z44</f>
        <v>0</v>
      </c>
      <c r="AH44" s="50">
        <f>E44*AA44</f>
        <v>0</v>
      </c>
      <c r="AJ44" s="103">
        <v>0</v>
      </c>
      <c r="AK44" s="103">
        <v>0</v>
      </c>
      <c r="AL44" s="9"/>
      <c r="AM44" s="50">
        <f t="shared" si="24"/>
        <v>0</v>
      </c>
      <c r="AN44" s="50">
        <f t="shared" si="24"/>
        <v>0</v>
      </c>
      <c r="AO44" s="50">
        <f t="shared" si="25"/>
        <v>0</v>
      </c>
    </row>
    <row r="45" spans="1:41" ht="16.5" customHeight="1" thickBot="1" x14ac:dyDescent="0.3">
      <c r="A45" s="574" t="s">
        <v>12</v>
      </c>
      <c r="B45" s="574"/>
      <c r="C45" s="574"/>
      <c r="D45" s="574"/>
      <c r="E45" s="574"/>
      <c r="F45" s="574"/>
      <c r="G45" s="574"/>
      <c r="H45" s="574"/>
      <c r="I45" s="574"/>
      <c r="J45" s="651"/>
      <c r="K45" s="384">
        <f>SUM(E42:E44)+SUM(K42:K44)</f>
        <v>0</v>
      </c>
      <c r="L45" s="174"/>
      <c r="M45" s="174"/>
      <c r="N45" s="866"/>
      <c r="O45" s="866"/>
      <c r="P45" s="866"/>
      <c r="Q45" s="866"/>
      <c r="R45" s="866"/>
      <c r="S45" s="866"/>
      <c r="T45" s="866"/>
      <c r="U45" s="866"/>
      <c r="V45" s="866"/>
      <c r="W45" s="866"/>
      <c r="Y45" s="492"/>
      <c r="Z45" s="272"/>
      <c r="AA45" s="272"/>
      <c r="AB45" s="493"/>
      <c r="AC45" s="493"/>
      <c r="AD45" s="272"/>
      <c r="AE45" s="273"/>
      <c r="AG45" s="4">
        <f t="shared" ref="AG45:AK45" si="26">SUM(AG42:AG44)</f>
        <v>0</v>
      </c>
      <c r="AH45" s="4">
        <f t="shared" si="26"/>
        <v>0</v>
      </c>
      <c r="AI45" s="4"/>
      <c r="AJ45" s="4">
        <f t="shared" si="26"/>
        <v>0</v>
      </c>
      <c r="AK45" s="4">
        <f t="shared" si="26"/>
        <v>0</v>
      </c>
      <c r="AL45" s="4"/>
      <c r="AM45" s="4">
        <f>SUM(AM42:AM44)</f>
        <v>0</v>
      </c>
      <c r="AN45" s="4">
        <f>SUM(AN42:AN44)</f>
        <v>0</v>
      </c>
      <c r="AO45" s="121">
        <f t="shared" si="25"/>
        <v>0</v>
      </c>
    </row>
    <row r="46" spans="1:41" ht="16.5" customHeight="1" x14ac:dyDescent="0.25">
      <c r="A46" s="910"/>
      <c r="B46" s="226"/>
      <c r="C46" s="301"/>
      <c r="D46" s="866"/>
      <c r="E46" s="301"/>
      <c r="F46" s="261"/>
      <c r="G46" s="261"/>
      <c r="H46" s="346"/>
      <c r="I46" s="301"/>
      <c r="J46" s="301"/>
      <c r="K46" s="338"/>
      <c r="L46" s="180"/>
      <c r="M46" s="180"/>
      <c r="N46" s="866"/>
      <c r="O46" s="866"/>
      <c r="P46" s="866"/>
      <c r="Q46" s="866"/>
      <c r="R46" s="866"/>
      <c r="S46" s="866"/>
      <c r="T46" s="866"/>
      <c r="U46" s="866"/>
      <c r="V46" s="866"/>
      <c r="W46" s="866"/>
      <c r="Y46" s="494" t="s">
        <v>34</v>
      </c>
      <c r="Z46" s="272" t="s">
        <v>203</v>
      </c>
      <c r="AA46" s="272" t="s">
        <v>204</v>
      </c>
      <c r="AB46" s="493"/>
      <c r="AC46" s="236" t="s">
        <v>34</v>
      </c>
      <c r="AD46" s="272" t="s">
        <v>203</v>
      </c>
      <c r="AE46" s="273" t="s">
        <v>204</v>
      </c>
      <c r="AG46" s="10" t="s">
        <v>34</v>
      </c>
      <c r="AM46" s="126"/>
      <c r="AN46" s="121"/>
    </row>
    <row r="47" spans="1:41" ht="16.5" customHeight="1" x14ac:dyDescent="0.25">
      <c r="A47" s="341" t="s">
        <v>15</v>
      </c>
      <c r="B47" s="342"/>
      <c r="C47" s="301"/>
      <c r="D47" s="866"/>
      <c r="E47" s="337" t="s">
        <v>159</v>
      </c>
      <c r="F47" s="261"/>
      <c r="G47" s="261"/>
      <c r="H47" s="301"/>
      <c r="I47" s="301"/>
      <c r="J47" s="301"/>
      <c r="K47" s="903" t="s">
        <v>160</v>
      </c>
      <c r="L47" s="181"/>
      <c r="M47" s="181"/>
      <c r="N47" s="866"/>
      <c r="O47" s="866"/>
      <c r="P47" s="866"/>
      <c r="Q47" s="866"/>
      <c r="R47" s="866"/>
      <c r="S47" s="866"/>
      <c r="T47" s="866"/>
      <c r="U47" s="866"/>
      <c r="V47" s="866"/>
      <c r="W47" s="866"/>
      <c r="Y47" s="494" t="s">
        <v>167</v>
      </c>
      <c r="Z47" s="278" t="s">
        <v>136</v>
      </c>
      <c r="AA47" s="278" t="s">
        <v>137</v>
      </c>
      <c r="AB47" s="493"/>
      <c r="AC47" s="236" t="s">
        <v>167</v>
      </c>
      <c r="AD47" s="278" t="s">
        <v>136</v>
      </c>
      <c r="AE47" s="279" t="s">
        <v>137</v>
      </c>
    </row>
    <row r="48" spans="1:41" ht="16.5" customHeight="1" x14ac:dyDescent="0.25">
      <c r="A48" s="910"/>
      <c r="B48" s="226"/>
      <c r="C48" s="301"/>
      <c r="D48" s="866"/>
      <c r="E48" s="227"/>
      <c r="F48" s="261"/>
      <c r="G48" s="261"/>
      <c r="H48" s="301"/>
      <c r="I48" s="301"/>
      <c r="J48" s="301"/>
      <c r="K48" s="227"/>
      <c r="L48" s="25"/>
      <c r="M48" s="25"/>
      <c r="N48" s="866"/>
      <c r="O48" s="866"/>
      <c r="P48" s="866"/>
      <c r="Q48" s="866"/>
      <c r="R48" s="866"/>
      <c r="S48" s="866"/>
      <c r="T48" s="866"/>
      <c r="U48" s="866"/>
      <c r="V48" s="866"/>
      <c r="W48" s="866"/>
      <c r="Y48" s="643">
        <f>E48</f>
        <v>0</v>
      </c>
      <c r="Z48" s="837"/>
      <c r="AA48" s="495">
        <f>1-Z48</f>
        <v>1</v>
      </c>
      <c r="AB48" s="144"/>
      <c r="AC48" s="644">
        <f>K48</f>
        <v>0</v>
      </c>
      <c r="AD48" s="837"/>
      <c r="AE48" s="264">
        <f>1-AD48</f>
        <v>1</v>
      </c>
      <c r="AG48" s="4">
        <f>E48*Z48</f>
        <v>0</v>
      </c>
      <c r="AH48" s="4">
        <f>E48*AA48</f>
        <v>0</v>
      </c>
      <c r="AJ48" s="4">
        <f>K48*AD48</f>
        <v>0</v>
      </c>
      <c r="AK48" s="4">
        <f>K48*AE48</f>
        <v>0</v>
      </c>
      <c r="AM48" s="4">
        <f>AG48+AJ48</f>
        <v>0</v>
      </c>
      <c r="AN48" s="4">
        <f>AH48+AK48</f>
        <v>0</v>
      </c>
      <c r="AO48" s="4">
        <f>SUM(AM48:AN48)</f>
        <v>0</v>
      </c>
    </row>
    <row r="49" spans="1:41" ht="16.5" customHeight="1" x14ac:dyDescent="0.25">
      <c r="A49" s="910"/>
      <c r="B49" s="226"/>
      <c r="C49" s="301"/>
      <c r="D49" s="866"/>
      <c r="E49" s="227"/>
      <c r="F49" s="261"/>
      <c r="G49" s="261"/>
      <c r="H49" s="301"/>
      <c r="I49" s="345"/>
      <c r="J49" s="296" t="s">
        <v>261</v>
      </c>
      <c r="K49" s="382">
        <v>0</v>
      </c>
      <c r="L49" s="25"/>
      <c r="M49" s="25"/>
      <c r="N49" s="866"/>
      <c r="O49" s="866"/>
      <c r="P49" s="866"/>
      <c r="Q49" s="866"/>
      <c r="R49" s="866"/>
      <c r="S49" s="866"/>
      <c r="T49" s="866"/>
      <c r="U49" s="866"/>
      <c r="V49" s="866"/>
      <c r="W49" s="866"/>
      <c r="Y49" s="643">
        <f>E49</f>
        <v>0</v>
      </c>
      <c r="Z49" s="837"/>
      <c r="AA49" s="495">
        <f>1-Z49</f>
        <v>1</v>
      </c>
      <c r="AB49" s="144"/>
      <c r="AC49" s="645">
        <v>0</v>
      </c>
      <c r="AD49" s="263">
        <v>0</v>
      </c>
      <c r="AE49" s="273"/>
      <c r="AG49" s="50">
        <f>E49*Z49</f>
        <v>0</v>
      </c>
      <c r="AH49" s="50">
        <f>E49*AA49</f>
        <v>0</v>
      </c>
      <c r="AJ49" s="103">
        <v>0</v>
      </c>
      <c r="AK49" s="103">
        <v>0</v>
      </c>
      <c r="AM49" s="50">
        <f>AG49+AJ49</f>
        <v>0</v>
      </c>
      <c r="AN49" s="50">
        <f>AH49+AK49</f>
        <v>0</v>
      </c>
      <c r="AO49" s="50">
        <f>SUM(AM49:AN49)</f>
        <v>0</v>
      </c>
    </row>
    <row r="50" spans="1:41" ht="16.5" customHeight="1" thickBot="1" x14ac:dyDescent="0.3">
      <c r="A50" s="910" t="s">
        <v>16</v>
      </c>
      <c r="B50" s="226"/>
      <c r="C50" s="301"/>
      <c r="D50" s="301"/>
      <c r="E50" s="301"/>
      <c r="F50" s="261"/>
      <c r="G50" s="261"/>
      <c r="H50" s="301"/>
      <c r="I50" s="301"/>
      <c r="J50" s="301"/>
      <c r="K50" s="383">
        <f>SUM(E48:E49)+ SUM(K48:K49)</f>
        <v>0</v>
      </c>
      <c r="L50" s="174"/>
      <c r="M50" s="174"/>
      <c r="N50" s="866"/>
      <c r="O50" s="866"/>
      <c r="P50" s="866"/>
      <c r="Q50" s="866"/>
      <c r="R50" s="866"/>
      <c r="S50" s="866"/>
      <c r="T50" s="866"/>
      <c r="U50" s="866"/>
      <c r="V50" s="866"/>
      <c r="W50" s="866"/>
      <c r="Y50" s="492"/>
      <c r="Z50" s="272"/>
      <c r="AA50" s="272"/>
      <c r="AB50" s="493"/>
      <c r="AC50" s="493"/>
      <c r="AD50" s="272"/>
      <c r="AE50" s="273"/>
      <c r="AG50" s="4">
        <f>SUM(AG48:AG49)</f>
        <v>0</v>
      </c>
      <c r="AH50" s="4">
        <f>SUM(AH48:AH49)</f>
        <v>0</v>
      </c>
      <c r="AJ50" s="4">
        <f>AJ48+AJ49</f>
        <v>0</v>
      </c>
      <c r="AK50" s="4">
        <f>AK48+AK49</f>
        <v>0</v>
      </c>
      <c r="AM50" s="4">
        <f>SUM(AM48:AM49)</f>
        <v>0</v>
      </c>
      <c r="AN50" s="4">
        <f>SUM(AN48:AN49)</f>
        <v>0</v>
      </c>
      <c r="AO50" s="121">
        <f>SUM(AM50:AN50)</f>
        <v>0</v>
      </c>
    </row>
    <row r="51" spans="1:41" ht="16.5" customHeight="1" x14ac:dyDescent="0.25">
      <c r="A51" s="910"/>
      <c r="B51" s="226"/>
      <c r="C51" s="301"/>
      <c r="D51" s="301"/>
      <c r="E51" s="301"/>
      <c r="F51" s="261"/>
      <c r="G51" s="261"/>
      <c r="H51" s="301"/>
      <c r="I51" s="301"/>
      <c r="J51" s="301"/>
      <c r="K51" s="338"/>
      <c r="L51" s="180"/>
      <c r="M51" s="180"/>
      <c r="N51" s="866"/>
      <c r="O51" s="866"/>
      <c r="P51" s="866"/>
      <c r="Q51" s="866"/>
      <c r="R51" s="866"/>
      <c r="S51" s="866"/>
      <c r="T51" s="866"/>
      <c r="U51" s="866"/>
      <c r="V51" s="866"/>
      <c r="W51" s="866"/>
      <c r="Y51" s="492"/>
      <c r="Z51" s="272"/>
      <c r="AA51" s="272"/>
      <c r="AB51" s="493"/>
      <c r="AC51" s="493"/>
      <c r="AD51" s="272"/>
      <c r="AE51" s="273"/>
      <c r="AM51" s="126"/>
      <c r="AN51" s="121"/>
    </row>
    <row r="52" spans="1:41" ht="16.5" customHeight="1" x14ac:dyDescent="0.25">
      <c r="A52" s="344" t="s">
        <v>29</v>
      </c>
      <c r="B52" s="347"/>
      <c r="C52" s="301"/>
      <c r="D52" s="301"/>
      <c r="E52" s="337" t="s">
        <v>159</v>
      </c>
      <c r="F52" s="326"/>
      <c r="G52" s="326"/>
      <c r="H52" s="301"/>
      <c r="I52" s="301"/>
      <c r="J52" s="301"/>
      <c r="K52" s="903" t="s">
        <v>160</v>
      </c>
      <c r="L52" s="181"/>
      <c r="M52" s="181"/>
      <c r="N52" s="866"/>
      <c r="O52" s="866"/>
      <c r="P52" s="866"/>
      <c r="Q52" s="866"/>
      <c r="R52" s="866"/>
      <c r="S52" s="866"/>
      <c r="T52" s="866"/>
      <c r="U52" s="866"/>
      <c r="V52" s="866"/>
      <c r="W52" s="866"/>
      <c r="Y52" s="492"/>
      <c r="Z52" s="272"/>
      <c r="AA52" s="272"/>
      <c r="AB52" s="493"/>
      <c r="AC52" s="493"/>
      <c r="AD52" s="272"/>
      <c r="AE52" s="273"/>
    </row>
    <row r="53" spans="1:41" ht="16.5" customHeight="1" x14ac:dyDescent="0.25">
      <c r="A53" s="910"/>
      <c r="B53" s="348"/>
      <c r="C53" s="349"/>
      <c r="D53" s="350"/>
      <c r="E53" s="227"/>
      <c r="F53" s="261"/>
      <c r="G53" s="261"/>
      <c r="H53" s="349"/>
      <c r="I53" s="301"/>
      <c r="J53" s="301"/>
      <c r="K53" s="385"/>
      <c r="L53" s="182"/>
      <c r="M53" s="182"/>
      <c r="N53" s="866"/>
      <c r="O53" s="866"/>
      <c r="P53" s="866"/>
      <c r="Q53" s="246"/>
      <c r="R53" s="246"/>
      <c r="S53" s="246"/>
      <c r="T53" s="246"/>
      <c r="U53" s="246"/>
      <c r="V53" s="246"/>
      <c r="W53" s="246"/>
      <c r="X53" s="63"/>
      <c r="Y53" s="271"/>
      <c r="Z53" s="259"/>
      <c r="AA53" s="259"/>
      <c r="AB53" s="496"/>
      <c r="AC53" s="496"/>
      <c r="AD53" s="259"/>
      <c r="AE53" s="497"/>
    </row>
    <row r="54" spans="1:41" ht="16.5" customHeight="1" x14ac:dyDescent="0.25">
      <c r="A54" s="910"/>
      <c r="B54" s="348"/>
      <c r="C54" s="349"/>
      <c r="D54" s="350"/>
      <c r="E54" s="227"/>
      <c r="F54" s="261"/>
      <c r="G54" s="261"/>
      <c r="H54" s="349"/>
      <c r="I54" s="345"/>
      <c r="J54" s="296" t="s">
        <v>262</v>
      </c>
      <c r="K54" s="382">
        <v>0</v>
      </c>
      <c r="L54" s="25"/>
      <c r="M54" s="25"/>
      <c r="N54" s="866"/>
      <c r="O54" s="866"/>
      <c r="P54" s="866"/>
      <c r="Q54" s="246"/>
      <c r="R54" s="246"/>
      <c r="S54" s="246"/>
      <c r="T54" s="246"/>
      <c r="U54" s="246"/>
      <c r="V54" s="246"/>
      <c r="W54" s="246"/>
      <c r="X54" s="63"/>
      <c r="Y54" s="271"/>
      <c r="Z54" s="259"/>
      <c r="AA54" s="259"/>
      <c r="AB54" s="496"/>
      <c r="AC54" s="496"/>
      <c r="AD54" s="272" t="s">
        <v>203</v>
      </c>
      <c r="AE54" s="273" t="s">
        <v>204</v>
      </c>
    </row>
    <row r="55" spans="1:41" ht="16.5" customHeight="1" thickBot="1" x14ac:dyDescent="0.35">
      <c r="A55" s="574" t="s">
        <v>30</v>
      </c>
      <c r="B55" s="574"/>
      <c r="C55" s="574"/>
      <c r="D55" s="574"/>
      <c r="E55" s="574"/>
      <c r="F55" s="574"/>
      <c r="G55" s="574"/>
      <c r="H55" s="574"/>
      <c r="I55" s="574"/>
      <c r="J55" s="651"/>
      <c r="K55" s="386">
        <f>SUM(E53:E54)+SUM(K53:K54)</f>
        <v>0</v>
      </c>
      <c r="L55" s="183"/>
      <c r="M55" s="183"/>
      <c r="N55" s="425" t="s">
        <v>45</v>
      </c>
      <c r="O55" s="425"/>
      <c r="P55" s="866"/>
      <c r="Q55" s="866"/>
      <c r="R55" s="866"/>
      <c r="S55" s="866"/>
      <c r="T55" s="866"/>
      <c r="U55" s="866"/>
      <c r="V55" s="866"/>
      <c r="W55" s="866"/>
      <c r="Y55" s="271"/>
      <c r="Z55" s="276"/>
      <c r="AA55" s="276"/>
      <c r="AB55" s="262"/>
      <c r="AC55" s="262"/>
      <c r="AD55" s="278" t="s">
        <v>136</v>
      </c>
      <c r="AE55" s="279" t="s">
        <v>137</v>
      </c>
    </row>
    <row r="56" spans="1:41" ht="16.5" customHeight="1" x14ac:dyDescent="0.25">
      <c r="A56" s="910"/>
      <c r="B56" s="226"/>
      <c r="C56" s="350"/>
      <c r="D56" s="350"/>
      <c r="E56" s="350"/>
      <c r="F56" s="350"/>
      <c r="G56" s="350"/>
      <c r="H56" s="226"/>
      <c r="I56" s="226"/>
      <c r="J56" s="226"/>
      <c r="K56" s="338"/>
      <c r="L56" s="180"/>
      <c r="M56" s="180"/>
      <c r="N56" s="866"/>
      <c r="O56" s="866"/>
      <c r="P56" s="866"/>
      <c r="Q56" s="866"/>
      <c r="R56" s="866"/>
      <c r="S56" s="866"/>
      <c r="T56" s="866"/>
      <c r="U56" s="866"/>
      <c r="V56" s="866"/>
      <c r="W56" s="866"/>
      <c r="Y56" s="1467"/>
      <c r="Z56" s="1468"/>
      <c r="AA56" s="498"/>
      <c r="AB56" s="262"/>
      <c r="AC56" s="1465" t="s">
        <v>160</v>
      </c>
      <c r="AD56" s="1465"/>
      <c r="AE56" s="1466"/>
    </row>
    <row r="57" spans="1:41" ht="16.5" customHeight="1" x14ac:dyDescent="0.25">
      <c r="A57" s="344" t="s">
        <v>68</v>
      </c>
      <c r="B57" s="342"/>
      <c r="C57" s="301"/>
      <c r="D57" s="301"/>
      <c r="E57" s="301"/>
      <c r="F57" s="301"/>
      <c r="G57" s="301"/>
      <c r="H57" s="262"/>
      <c r="I57" s="351" t="s">
        <v>72</v>
      </c>
      <c r="J57" s="351" t="s">
        <v>73</v>
      </c>
      <c r="K57" s="903" t="s">
        <v>160</v>
      </c>
      <c r="L57" s="181"/>
      <c r="M57" s="181"/>
      <c r="N57" s="866"/>
      <c r="O57" s="866"/>
      <c r="P57" s="866"/>
      <c r="Q57" s="866"/>
      <c r="R57" s="866"/>
      <c r="S57" s="866"/>
      <c r="T57" s="866"/>
      <c r="U57" s="866"/>
      <c r="V57" s="866"/>
      <c r="W57" s="866"/>
      <c r="Y57" s="271"/>
      <c r="Z57" s="259"/>
      <c r="AA57" s="259"/>
      <c r="AB57" s="493"/>
      <c r="AC57" s="493"/>
      <c r="AD57" s="499" t="s">
        <v>171</v>
      </c>
      <c r="AE57" s="500"/>
      <c r="AF57" s="49"/>
      <c r="AH57" s="49"/>
      <c r="AJ57" s="140" t="s">
        <v>171</v>
      </c>
      <c r="AK57" s="49"/>
      <c r="AM57" s="49"/>
      <c r="AN57" s="49"/>
      <c r="AO57" s="49"/>
    </row>
    <row r="58" spans="1:41" ht="16.5" customHeight="1" x14ac:dyDescent="0.25">
      <c r="A58" s="910"/>
      <c r="B58" s="226"/>
      <c r="C58" s="301"/>
      <c r="D58" s="301"/>
      <c r="E58" s="301"/>
      <c r="F58" s="301"/>
      <c r="G58" s="301"/>
      <c r="H58" s="262"/>
      <c r="I58" s="352"/>
      <c r="J58" s="352"/>
      <c r="K58" s="513">
        <f>I58+J58</f>
        <v>0</v>
      </c>
      <c r="L58" s="25"/>
      <c r="M58" s="25"/>
      <c r="N58" s="866"/>
      <c r="O58" s="866"/>
      <c r="P58" s="866"/>
      <c r="Q58" s="866"/>
      <c r="R58" s="866"/>
      <c r="S58" s="866"/>
      <c r="T58" s="866"/>
      <c r="U58" s="866"/>
      <c r="V58" s="866"/>
      <c r="W58" s="866"/>
      <c r="Y58" s="492"/>
      <c r="Z58" s="272"/>
      <c r="AA58" s="259"/>
      <c r="AB58" s="493"/>
      <c r="AC58" s="646">
        <f>K186</f>
        <v>0</v>
      </c>
      <c r="AD58" s="837"/>
      <c r="AE58" s="264">
        <f>1-AD58</f>
        <v>1</v>
      </c>
      <c r="AG58" s="4"/>
      <c r="AH58" s="4"/>
      <c r="AJ58" s="4">
        <f>K186*AD58</f>
        <v>0</v>
      </c>
      <c r="AK58" s="4">
        <f>K186*AE58</f>
        <v>0</v>
      </c>
      <c r="AM58" s="4">
        <f>AG58+AJ58</f>
        <v>0</v>
      </c>
      <c r="AN58" s="4">
        <f>AH58+AK58</f>
        <v>0</v>
      </c>
      <c r="AO58" s="121">
        <f>AM58+AN58</f>
        <v>0</v>
      </c>
    </row>
    <row r="59" spans="1:41" ht="16.5" customHeight="1" x14ac:dyDescent="0.25">
      <c r="A59" s="910"/>
      <c r="B59" s="226"/>
      <c r="C59" s="301"/>
      <c r="D59" s="301"/>
      <c r="E59" s="301"/>
      <c r="F59" s="301"/>
      <c r="G59" s="301"/>
      <c r="H59" s="262"/>
      <c r="I59" s="352"/>
      <c r="J59" s="352"/>
      <c r="K59" s="513">
        <f>I59+J59</f>
        <v>0</v>
      </c>
      <c r="L59" s="25"/>
      <c r="M59" s="25"/>
      <c r="N59" s="866"/>
      <c r="O59" s="866"/>
      <c r="P59" s="866"/>
      <c r="Q59" s="866"/>
      <c r="R59" s="866"/>
      <c r="S59" s="866"/>
      <c r="T59" s="866"/>
      <c r="U59" s="866"/>
      <c r="V59" s="866"/>
      <c r="W59" s="866"/>
      <c r="Y59" s="492"/>
      <c r="Z59" s="272"/>
      <c r="AA59" s="259"/>
      <c r="AB59" s="493"/>
      <c r="AC59" s="259"/>
      <c r="AD59" s="259"/>
      <c r="AE59" s="273"/>
    </row>
    <row r="60" spans="1:41" ht="16.5" customHeight="1" x14ac:dyDescent="0.25">
      <c r="A60" s="910"/>
      <c r="B60" s="226"/>
      <c r="C60" s="301"/>
      <c r="D60" s="301"/>
      <c r="E60" s="301"/>
      <c r="F60" s="301"/>
      <c r="G60" s="301"/>
      <c r="H60" s="262"/>
      <c r="I60" s="352"/>
      <c r="J60" s="352"/>
      <c r="K60" s="513">
        <f>I60+J60</f>
        <v>0</v>
      </c>
      <c r="L60" s="25"/>
      <c r="M60" s="25"/>
      <c r="N60" s="866"/>
      <c r="O60" s="866"/>
      <c r="P60" s="866"/>
      <c r="Q60" s="866"/>
      <c r="R60" s="866"/>
      <c r="S60" s="866"/>
      <c r="T60" s="866"/>
      <c r="U60" s="866"/>
      <c r="V60" s="866"/>
      <c r="W60" s="866"/>
      <c r="Y60" s="492"/>
      <c r="Z60" s="272"/>
      <c r="AA60" s="259"/>
      <c r="AB60" s="493"/>
      <c r="AC60" s="259"/>
      <c r="AD60" s="272" t="s">
        <v>203</v>
      </c>
      <c r="AE60" s="273" t="s">
        <v>204</v>
      </c>
    </row>
    <row r="61" spans="1:41" ht="16.5" customHeight="1" x14ac:dyDescent="0.25">
      <c r="A61" s="353" t="s">
        <v>175</v>
      </c>
      <c r="B61" s="354"/>
      <c r="C61" s="355"/>
      <c r="D61" s="355"/>
      <c r="E61" s="355"/>
      <c r="F61" s="355"/>
      <c r="G61" s="355"/>
      <c r="H61" s="356"/>
      <c r="I61" s="357"/>
      <c r="J61" s="358"/>
      <c r="K61" s="513">
        <f>I61+J61</f>
        <v>0</v>
      </c>
      <c r="L61" s="25"/>
      <c r="M61" s="25"/>
      <c r="N61" s="866"/>
      <c r="O61" s="866"/>
      <c r="P61" s="866"/>
      <c r="Q61" s="866"/>
      <c r="R61" s="866"/>
      <c r="S61" s="866"/>
      <c r="T61" s="866"/>
      <c r="U61" s="866"/>
      <c r="V61" s="866"/>
      <c r="W61" s="866"/>
      <c r="Y61" s="492"/>
      <c r="Z61" s="272"/>
      <c r="AA61" s="259"/>
      <c r="AB61" s="493"/>
      <c r="AC61" s="502"/>
      <c r="AD61" s="502" t="s">
        <v>172</v>
      </c>
      <c r="AE61" s="273"/>
      <c r="AJ61" s="139" t="s">
        <v>172</v>
      </c>
    </row>
    <row r="62" spans="1:41" ht="17.25" customHeight="1" x14ac:dyDescent="0.25">
      <c r="A62" s="293"/>
      <c r="B62" s="294"/>
      <c r="C62" s="295"/>
      <c r="D62" s="295"/>
      <c r="E62" s="295"/>
      <c r="F62" s="295"/>
      <c r="G62" s="295"/>
      <c r="H62" s="296" t="s">
        <v>224</v>
      </c>
      <c r="I62" s="297">
        <v>0</v>
      </c>
      <c r="J62" s="297">
        <v>0</v>
      </c>
      <c r="K62" s="382">
        <f>I62+J62</f>
        <v>0</v>
      </c>
      <c r="L62" s="25"/>
      <c r="M62" s="25"/>
      <c r="N62" s="866"/>
      <c r="O62" s="866"/>
      <c r="P62" s="866"/>
      <c r="Q62" s="866"/>
      <c r="R62" s="866"/>
      <c r="S62" s="866"/>
      <c r="T62" s="866"/>
      <c r="U62" s="866"/>
      <c r="V62" s="866"/>
      <c r="W62" s="866"/>
      <c r="Y62" s="492"/>
      <c r="Z62" s="272"/>
      <c r="AA62" s="259"/>
      <c r="AB62" s="493"/>
      <c r="AC62" s="647">
        <f>K129</f>
        <v>0</v>
      </c>
      <c r="AD62" s="837"/>
      <c r="AE62" s="264">
        <f>1-AD62</f>
        <v>1</v>
      </c>
      <c r="AJ62" s="129">
        <f>K129*AD62</f>
        <v>0</v>
      </c>
      <c r="AK62" s="867">
        <f>K129*AE62</f>
        <v>0</v>
      </c>
      <c r="AM62" s="4">
        <f>AG62+AJ62</f>
        <v>0</v>
      </c>
      <c r="AN62" s="867">
        <f>AH62+AK62</f>
        <v>0</v>
      </c>
      <c r="AO62" s="121">
        <f>AM62+AN62</f>
        <v>0</v>
      </c>
    </row>
    <row r="63" spans="1:41" ht="16.5" customHeight="1" thickBot="1" x14ac:dyDescent="0.35">
      <c r="A63" s="652" t="s">
        <v>47</v>
      </c>
      <c r="B63" s="652"/>
      <c r="C63" s="652"/>
      <c r="D63" s="652"/>
      <c r="E63" s="652"/>
      <c r="F63" s="652"/>
      <c r="G63" s="652"/>
      <c r="H63" s="652"/>
      <c r="I63" s="387">
        <f>SUM(I58:I62)</f>
        <v>0</v>
      </c>
      <c r="J63" s="106">
        <f>SUM(J58:J62)</f>
        <v>0</v>
      </c>
      <c r="K63" s="388">
        <f>SUM(K58:K62)</f>
        <v>0</v>
      </c>
      <c r="L63" s="175"/>
      <c r="M63" s="175"/>
      <c r="N63" s="425" t="s">
        <v>140</v>
      </c>
      <c r="O63" s="425"/>
      <c r="P63" s="866"/>
      <c r="Q63" s="866"/>
      <c r="R63" s="866"/>
      <c r="S63" s="866"/>
      <c r="T63" s="866"/>
      <c r="U63" s="866"/>
      <c r="V63" s="866"/>
      <c r="W63" s="866"/>
      <c r="Y63" s="494" t="s">
        <v>170</v>
      </c>
      <c r="Z63" s="272" t="s">
        <v>203</v>
      </c>
      <c r="AA63" s="272" t="s">
        <v>204</v>
      </c>
      <c r="AB63" s="493"/>
      <c r="AC63" s="236" t="s">
        <v>170</v>
      </c>
      <c r="AD63" s="272" t="s">
        <v>203</v>
      </c>
      <c r="AE63" s="273" t="s">
        <v>204</v>
      </c>
      <c r="AG63" s="49"/>
      <c r="AH63" s="49"/>
      <c r="AJ63" s="49"/>
      <c r="AK63" s="49"/>
      <c r="AM63" s="49"/>
      <c r="AN63" s="49"/>
      <c r="AO63" s="49"/>
    </row>
    <row r="64" spans="1:41" ht="16.5" customHeight="1" x14ac:dyDescent="0.25">
      <c r="A64" s="910"/>
      <c r="B64" s="226"/>
      <c r="C64" s="301"/>
      <c r="D64" s="301"/>
      <c r="E64" s="301"/>
      <c r="F64" s="301"/>
      <c r="G64" s="301"/>
      <c r="H64" s="301"/>
      <c r="I64" s="301"/>
      <c r="J64" s="301"/>
      <c r="K64" s="338"/>
      <c r="L64" s="180"/>
      <c r="M64" s="180"/>
      <c r="N64" s="866"/>
      <c r="O64" s="866"/>
      <c r="P64" s="866"/>
      <c r="Q64" s="866"/>
      <c r="R64" s="866"/>
      <c r="S64" s="866"/>
      <c r="T64" s="866"/>
      <c r="U64" s="866"/>
      <c r="V64" s="866"/>
      <c r="W64" s="866"/>
      <c r="Y64" s="274" t="s">
        <v>167</v>
      </c>
      <c r="Z64" s="278" t="s">
        <v>136</v>
      </c>
      <c r="AA64" s="278" t="s">
        <v>137</v>
      </c>
      <c r="AB64" s="493"/>
      <c r="AC64" s="275" t="s">
        <v>167</v>
      </c>
      <c r="AD64" s="278" t="s">
        <v>136</v>
      </c>
      <c r="AE64" s="278" t="s">
        <v>137</v>
      </c>
      <c r="AG64" s="160" t="s">
        <v>67</v>
      </c>
      <c r="AM64" s="126"/>
      <c r="AN64" s="4"/>
    </row>
    <row r="65" spans="1:43" ht="16.5" customHeight="1" x14ac:dyDescent="0.25">
      <c r="A65" s="341" t="s">
        <v>65</v>
      </c>
      <c r="B65" s="342"/>
      <c r="C65" s="301"/>
      <c r="D65" s="301"/>
      <c r="E65" s="337" t="s">
        <v>159</v>
      </c>
      <c r="F65" s="301"/>
      <c r="G65" s="301"/>
      <c r="H65" s="301"/>
      <c r="I65" s="301"/>
      <c r="J65" s="301"/>
      <c r="K65" s="903" t="s">
        <v>160</v>
      </c>
      <c r="L65" s="181"/>
      <c r="M65" s="181"/>
      <c r="N65" s="866"/>
      <c r="O65" s="866"/>
      <c r="P65" s="866"/>
      <c r="Q65" s="866"/>
      <c r="R65" s="866"/>
      <c r="S65" s="866"/>
      <c r="T65" s="866"/>
      <c r="U65" s="866"/>
      <c r="V65" s="866"/>
      <c r="W65" s="866"/>
      <c r="Y65" s="1463" t="s">
        <v>159</v>
      </c>
      <c r="Z65" s="1464"/>
      <c r="AA65" s="501"/>
      <c r="AB65" s="493"/>
      <c r="AC65" s="1465" t="s">
        <v>160</v>
      </c>
      <c r="AD65" s="1465"/>
      <c r="AE65" s="1466"/>
    </row>
    <row r="66" spans="1:43" ht="16.5" customHeight="1" x14ac:dyDescent="0.25">
      <c r="A66" s="305"/>
      <c r="B66" s="359"/>
      <c r="C66" s="349"/>
      <c r="D66" s="301"/>
      <c r="E66" s="227"/>
      <c r="F66" s="261"/>
      <c r="G66" s="261"/>
      <c r="H66" s="261"/>
      <c r="I66" s="301"/>
      <c r="J66" s="301"/>
      <c r="K66" s="227"/>
      <c r="L66" s="25"/>
      <c r="M66" s="25"/>
      <c r="N66" s="866"/>
      <c r="O66" s="866"/>
      <c r="P66" s="866"/>
      <c r="Q66" s="866"/>
      <c r="R66" s="866"/>
      <c r="S66" s="866"/>
      <c r="T66" s="866"/>
      <c r="U66" s="866"/>
      <c r="V66" s="866"/>
      <c r="W66" s="866"/>
      <c r="Y66" s="643">
        <f>E66</f>
        <v>0</v>
      </c>
      <c r="Z66" s="837"/>
      <c r="AA66" s="495">
        <f>1-Z66</f>
        <v>1</v>
      </c>
      <c r="AB66" s="493"/>
      <c r="AC66" s="644">
        <f>K66</f>
        <v>0</v>
      </c>
      <c r="AD66" s="837"/>
      <c r="AE66" s="264">
        <f>1-AD66</f>
        <v>1</v>
      </c>
      <c r="AG66" s="4">
        <f>E66*Z66</f>
        <v>0</v>
      </c>
      <c r="AH66" s="4">
        <f>E66*AA66</f>
        <v>0</v>
      </c>
      <c r="AJ66" s="4">
        <f t="shared" ref="AJ66:AJ71" si="27">K66*AD66</f>
        <v>0</v>
      </c>
      <c r="AK66" s="4">
        <f t="shared" ref="AK66:AK71" si="28">K66*AE66</f>
        <v>0</v>
      </c>
      <c r="AM66" s="4">
        <f>AG66+AJ66</f>
        <v>0</v>
      </c>
      <c r="AN66" s="4">
        <f>AH66+AK66</f>
        <v>0</v>
      </c>
      <c r="AO66" s="4">
        <f>SUM(AM66:AN66)</f>
        <v>0</v>
      </c>
    </row>
    <row r="67" spans="1:43" ht="16.5" customHeight="1" x14ac:dyDescent="0.25">
      <c r="A67" s="305"/>
      <c r="B67" s="359"/>
      <c r="C67" s="349"/>
      <c r="D67" s="301"/>
      <c r="E67" s="227"/>
      <c r="F67" s="261"/>
      <c r="G67" s="261"/>
      <c r="H67" s="261"/>
      <c r="I67" s="301"/>
      <c r="J67" s="301"/>
      <c r="K67" s="227"/>
      <c r="L67" s="25"/>
      <c r="M67" s="25"/>
      <c r="N67" s="866"/>
      <c r="O67" s="866"/>
      <c r="P67" s="866"/>
      <c r="Q67" s="866"/>
      <c r="R67" s="866"/>
      <c r="S67" s="866"/>
      <c r="T67" s="866"/>
      <c r="U67" s="866"/>
      <c r="V67" s="866"/>
      <c r="W67" s="866"/>
      <c r="Y67" s="643">
        <f>E67</f>
        <v>0</v>
      </c>
      <c r="Z67" s="837"/>
      <c r="AA67" s="495">
        <f t="shared" ref="AA67:AA70" si="29">1-Z67</f>
        <v>1</v>
      </c>
      <c r="AB67" s="493"/>
      <c r="AC67" s="644">
        <f>K67</f>
        <v>0</v>
      </c>
      <c r="AD67" s="837"/>
      <c r="AE67" s="264">
        <f t="shared" ref="AE67:AE74" si="30">1-AD67</f>
        <v>1</v>
      </c>
      <c r="AG67" s="4">
        <f>E67*Z67</f>
        <v>0</v>
      </c>
      <c r="AH67" s="4">
        <f>E67*AA67</f>
        <v>0</v>
      </c>
      <c r="AJ67" s="4">
        <f t="shared" si="27"/>
        <v>0</v>
      </c>
      <c r="AK67" s="4">
        <f t="shared" si="28"/>
        <v>0</v>
      </c>
      <c r="AM67" s="4">
        <f t="shared" ref="AM67:AN74" si="31">AG67+AJ67</f>
        <v>0</v>
      </c>
      <c r="AN67" s="4">
        <f t="shared" si="31"/>
        <v>0</v>
      </c>
      <c r="AO67" s="4">
        <f t="shared" ref="AO67:AO78" si="32">SUM(AM67:AN67)</f>
        <v>0</v>
      </c>
    </row>
    <row r="68" spans="1:43" ht="16.5" customHeight="1" x14ac:dyDescent="0.25">
      <c r="A68" s="305"/>
      <c r="B68" s="359"/>
      <c r="C68" s="349"/>
      <c r="D68" s="301"/>
      <c r="E68" s="227"/>
      <c r="F68" s="261"/>
      <c r="G68" s="261"/>
      <c r="H68" s="261"/>
      <c r="I68" s="301"/>
      <c r="J68" s="301"/>
      <c r="K68" s="227"/>
      <c r="L68" s="25"/>
      <c r="M68" s="25"/>
      <c r="N68" s="866"/>
      <c r="O68" s="866"/>
      <c r="P68" s="866"/>
      <c r="Q68" s="866"/>
      <c r="R68" s="866"/>
      <c r="S68" s="866"/>
      <c r="T68" s="866"/>
      <c r="U68" s="866"/>
      <c r="V68" s="866"/>
      <c r="W68" s="866"/>
      <c r="Y68" s="643">
        <f>E68</f>
        <v>0</v>
      </c>
      <c r="Z68" s="837"/>
      <c r="AA68" s="495">
        <f t="shared" si="29"/>
        <v>1</v>
      </c>
      <c r="AB68" s="493"/>
      <c r="AC68" s="644">
        <f>K68</f>
        <v>0</v>
      </c>
      <c r="AD68" s="837"/>
      <c r="AE68" s="264">
        <f t="shared" si="30"/>
        <v>1</v>
      </c>
      <c r="AG68" s="4">
        <f>E68*Z68</f>
        <v>0</v>
      </c>
      <c r="AH68" s="4">
        <f>E68*AA68</f>
        <v>0</v>
      </c>
      <c r="AJ68" s="4">
        <f t="shared" si="27"/>
        <v>0</v>
      </c>
      <c r="AK68" s="4">
        <f t="shared" si="28"/>
        <v>0</v>
      </c>
      <c r="AM68" s="4">
        <f t="shared" si="31"/>
        <v>0</v>
      </c>
      <c r="AN68" s="4">
        <f t="shared" si="31"/>
        <v>0</v>
      </c>
      <c r="AO68" s="4">
        <f t="shared" si="32"/>
        <v>0</v>
      </c>
    </row>
    <row r="69" spans="1:43" ht="16.5" customHeight="1" x14ac:dyDescent="0.25">
      <c r="A69" s="305"/>
      <c r="B69" s="359"/>
      <c r="C69" s="349"/>
      <c r="D69" s="301"/>
      <c r="E69" s="227"/>
      <c r="F69" s="261"/>
      <c r="G69" s="261"/>
      <c r="H69" s="261"/>
      <c r="I69" s="301"/>
      <c r="J69" s="301"/>
      <c r="K69" s="227"/>
      <c r="L69" s="25"/>
      <c r="M69" s="25"/>
      <c r="N69" s="866"/>
      <c r="O69" s="866"/>
      <c r="P69" s="866"/>
      <c r="Q69" s="866"/>
      <c r="R69" s="866"/>
      <c r="S69" s="866"/>
      <c r="T69" s="866"/>
      <c r="U69" s="866"/>
      <c r="V69" s="866"/>
      <c r="W69" s="866"/>
      <c r="Y69" s="643">
        <f>E69</f>
        <v>0</v>
      </c>
      <c r="Z69" s="837"/>
      <c r="AA69" s="495">
        <f t="shared" si="29"/>
        <v>1</v>
      </c>
      <c r="AB69" s="493"/>
      <c r="AC69" s="644">
        <f>K69</f>
        <v>0</v>
      </c>
      <c r="AD69" s="837"/>
      <c r="AE69" s="264">
        <f t="shared" si="30"/>
        <v>1</v>
      </c>
      <c r="AG69" s="4">
        <f>E69*Z69</f>
        <v>0</v>
      </c>
      <c r="AH69" s="4">
        <f>E69*AA69</f>
        <v>0</v>
      </c>
      <c r="AJ69" s="4">
        <f t="shared" si="27"/>
        <v>0</v>
      </c>
      <c r="AK69" s="4">
        <f t="shared" si="28"/>
        <v>0</v>
      </c>
      <c r="AM69" s="4">
        <f t="shared" si="31"/>
        <v>0</v>
      </c>
      <c r="AN69" s="4">
        <f t="shared" si="31"/>
        <v>0</v>
      </c>
      <c r="AO69" s="4">
        <f t="shared" si="32"/>
        <v>0</v>
      </c>
    </row>
    <row r="70" spans="1:43" ht="16.5" customHeight="1" x14ac:dyDescent="0.25">
      <c r="A70" s="305"/>
      <c r="B70" s="359"/>
      <c r="C70" s="349"/>
      <c r="D70" s="301"/>
      <c r="E70" s="227"/>
      <c r="F70" s="261"/>
      <c r="G70" s="261"/>
      <c r="H70" s="261"/>
      <c r="I70" s="301"/>
      <c r="J70" s="301"/>
      <c r="K70" s="227"/>
      <c r="L70" s="25"/>
      <c r="M70" s="25"/>
      <c r="N70" s="326"/>
      <c r="O70" s="326"/>
      <c r="P70" s="326"/>
      <c r="Q70" s="326"/>
      <c r="R70" s="326"/>
      <c r="S70" s="326"/>
      <c r="T70" s="326"/>
      <c r="U70" s="326"/>
      <c r="V70" s="326"/>
      <c r="W70" s="326"/>
      <c r="X70" s="13"/>
      <c r="Y70" s="648">
        <f>E70</f>
        <v>0</v>
      </c>
      <c r="Z70" s="837"/>
      <c r="AA70" s="649">
        <f t="shared" si="29"/>
        <v>1</v>
      </c>
      <c r="AB70" s="496"/>
      <c r="AC70" s="644">
        <f>K70</f>
        <v>0</v>
      </c>
      <c r="AD70" s="837"/>
      <c r="AE70" s="264">
        <f t="shared" si="30"/>
        <v>1</v>
      </c>
      <c r="AG70" s="4">
        <f>E70*Z70</f>
        <v>0</v>
      </c>
      <c r="AH70" s="4">
        <f>E70*AA70</f>
        <v>0</v>
      </c>
      <c r="AJ70" s="4">
        <f t="shared" si="27"/>
        <v>0</v>
      </c>
      <c r="AK70" s="4">
        <f t="shared" si="28"/>
        <v>0</v>
      </c>
      <c r="AM70" s="4">
        <f t="shared" si="31"/>
        <v>0</v>
      </c>
      <c r="AN70" s="4">
        <f t="shared" si="31"/>
        <v>0</v>
      </c>
      <c r="AO70" s="4">
        <f t="shared" si="32"/>
        <v>0</v>
      </c>
    </row>
    <row r="71" spans="1:43" s="56" customFormat="1" ht="4.5" customHeight="1" x14ac:dyDescent="0.25">
      <c r="A71" s="104"/>
      <c r="B71" s="105"/>
      <c r="C71" s="51"/>
      <c r="D71" s="102"/>
      <c r="E71" s="102"/>
      <c r="F71" s="102"/>
      <c r="G71" s="102"/>
      <c r="H71" s="102"/>
      <c r="I71" s="364"/>
      <c r="J71" s="365"/>
      <c r="K71" s="389"/>
      <c r="L71" s="25"/>
      <c r="M71" s="25"/>
      <c r="N71" s="326"/>
      <c r="O71" s="326"/>
      <c r="P71" s="326"/>
      <c r="Q71" s="326"/>
      <c r="R71" s="326"/>
      <c r="S71" s="326"/>
      <c r="T71" s="326"/>
      <c r="U71" s="326"/>
      <c r="V71" s="326"/>
      <c r="W71" s="326"/>
      <c r="X71" s="13"/>
      <c r="Y71" s="141"/>
      <c r="Z71" s="113"/>
      <c r="AA71" s="113"/>
      <c r="AB71" s="114"/>
      <c r="AC71" s="149"/>
      <c r="AD71" s="123"/>
      <c r="AE71" s="142"/>
      <c r="AG71" s="4"/>
      <c r="AH71" s="4"/>
      <c r="AJ71" s="4">
        <f t="shared" si="27"/>
        <v>0</v>
      </c>
      <c r="AK71" s="4">
        <f t="shared" si="28"/>
        <v>0</v>
      </c>
      <c r="AM71" s="4">
        <f t="shared" si="31"/>
        <v>0</v>
      </c>
      <c r="AN71" s="4">
        <f t="shared" si="31"/>
        <v>0</v>
      </c>
      <c r="AO71" s="4">
        <f>SUM(AM71:AN71)</f>
        <v>0</v>
      </c>
    </row>
    <row r="72" spans="1:43" ht="16.5" customHeight="1" x14ac:dyDescent="0.25">
      <c r="A72" s="366" t="s">
        <v>134</v>
      </c>
      <c r="B72" s="367"/>
      <c r="C72" s="368"/>
      <c r="D72" s="369"/>
      <c r="E72" s="369"/>
      <c r="F72" s="369"/>
      <c r="G72" s="369"/>
      <c r="H72" s="369"/>
      <c r="I72" s="369"/>
      <c r="J72" s="369"/>
      <c r="K72" s="390" t="s">
        <v>433</v>
      </c>
      <c r="L72" s="184"/>
      <c r="M72" s="184"/>
      <c r="N72" s="326"/>
      <c r="O72" s="326"/>
      <c r="P72" s="326"/>
      <c r="Q72" s="326"/>
      <c r="R72" s="326"/>
      <c r="S72" s="326"/>
      <c r="T72" s="326"/>
      <c r="U72" s="326"/>
      <c r="V72" s="326"/>
      <c r="W72" s="326"/>
      <c r="X72" s="13"/>
      <c r="Y72" s="271"/>
      <c r="Z72" s="259"/>
      <c r="AA72" s="259"/>
      <c r="AB72" s="246"/>
      <c r="AC72" s="650"/>
      <c r="AD72" s="272"/>
      <c r="AE72" s="273"/>
      <c r="AG72" s="4"/>
      <c r="AH72" s="4"/>
      <c r="AJ72" s="4"/>
      <c r="AK72" s="4"/>
      <c r="AM72" s="4"/>
      <c r="AN72" s="4"/>
      <c r="AO72" s="4">
        <f t="shared" si="32"/>
        <v>0</v>
      </c>
    </row>
    <row r="73" spans="1:43" ht="16.5" customHeight="1" x14ac:dyDescent="0.25">
      <c r="A73" s="370" t="s">
        <v>139</v>
      </c>
      <c r="B73" s="305" t="str">
        <f>'Federal Grad Student'!A20</f>
        <v xml:space="preserve"> Direct Compensation</v>
      </c>
      <c r="C73" s="349"/>
      <c r="D73" s="301"/>
      <c r="E73" s="301"/>
      <c r="F73" s="301"/>
      <c r="G73" s="301"/>
      <c r="H73" s="261"/>
      <c r="I73" s="301"/>
      <c r="J73" s="301"/>
      <c r="K73" s="391">
        <f>IF($H$188="Yes", 'Federal Grad Student'!C101, 0)</f>
        <v>0</v>
      </c>
      <c r="L73" s="25"/>
      <c r="M73" s="25"/>
      <c r="N73" s="326"/>
      <c r="O73" s="866"/>
      <c r="P73" s="866"/>
      <c r="Q73" s="866"/>
      <c r="R73" s="866"/>
      <c r="S73" s="866"/>
      <c r="T73" s="866"/>
      <c r="U73" s="866"/>
      <c r="V73" s="866"/>
      <c r="W73" s="866"/>
      <c r="Y73" s="492"/>
      <c r="Z73" s="261"/>
      <c r="AA73" s="272"/>
      <c r="AB73" s="262"/>
      <c r="AC73" s="644">
        <f>K73</f>
        <v>0</v>
      </c>
      <c r="AD73" s="504"/>
      <c r="AE73" s="264">
        <f t="shared" si="30"/>
        <v>1</v>
      </c>
      <c r="AG73" s="4">
        <f>E73*Z73</f>
        <v>0</v>
      </c>
      <c r="AH73" s="4">
        <f>E73*AA73</f>
        <v>0</v>
      </c>
      <c r="AJ73" s="4">
        <f>K73*AD73</f>
        <v>0</v>
      </c>
      <c r="AK73" s="4">
        <f>K73*AE73</f>
        <v>0</v>
      </c>
      <c r="AM73" s="4">
        <f t="shared" si="31"/>
        <v>0</v>
      </c>
      <c r="AN73" s="4">
        <f t="shared" si="31"/>
        <v>0</v>
      </c>
      <c r="AO73" s="4">
        <f t="shared" si="32"/>
        <v>0</v>
      </c>
    </row>
    <row r="74" spans="1:43" ht="16.5" customHeight="1" x14ac:dyDescent="0.25">
      <c r="A74" s="371" t="s">
        <v>173</v>
      </c>
      <c r="B74" s="305" t="str">
        <f>'Federal Grad Student'!A21</f>
        <v xml:space="preserve"> Health Insurance</v>
      </c>
      <c r="C74" s="349"/>
      <c r="D74" s="301"/>
      <c r="E74" s="301"/>
      <c r="F74" s="301"/>
      <c r="G74" s="301"/>
      <c r="H74" s="261"/>
      <c r="I74" s="301"/>
      <c r="J74" s="301"/>
      <c r="K74" s="392">
        <f>IF($H$188="Yes", 'Federal Grad Student'!C102, 0)</f>
        <v>0</v>
      </c>
      <c r="L74" s="25"/>
      <c r="M74" s="25"/>
      <c r="N74" s="326"/>
      <c r="O74" s="866"/>
      <c r="P74" s="866"/>
      <c r="Q74" s="866"/>
      <c r="R74" s="866"/>
      <c r="S74" s="866"/>
      <c r="T74" s="866"/>
      <c r="U74" s="866"/>
      <c r="V74" s="866"/>
      <c r="W74" s="866"/>
      <c r="Y74" s="492"/>
      <c r="Z74" s="261"/>
      <c r="AA74" s="272"/>
      <c r="AB74" s="262"/>
      <c r="AC74" s="644">
        <f>K74</f>
        <v>0</v>
      </c>
      <c r="AD74" s="504"/>
      <c r="AE74" s="264">
        <f t="shared" si="30"/>
        <v>1</v>
      </c>
      <c r="AG74" s="4">
        <f>E74*Z74</f>
        <v>0</v>
      </c>
      <c r="AH74" s="4">
        <f>E74*AA74</f>
        <v>0</v>
      </c>
      <c r="AJ74" s="4">
        <f>K74*AD74</f>
        <v>0</v>
      </c>
      <c r="AK74" s="4">
        <f>K74*AE74</f>
        <v>0</v>
      </c>
      <c r="AM74" s="4">
        <f t="shared" si="31"/>
        <v>0</v>
      </c>
      <c r="AN74" s="4">
        <f t="shared" si="31"/>
        <v>0</v>
      </c>
      <c r="AO74" s="4">
        <f t="shared" si="32"/>
        <v>0</v>
      </c>
    </row>
    <row r="75" spans="1:43" ht="16.5" customHeight="1" x14ac:dyDescent="0.3">
      <c r="A75" s="372" t="s">
        <v>174</v>
      </c>
      <c r="B75" s="373" t="str">
        <f>'Federal Grad Student'!A22</f>
        <v xml:space="preserve"> Tuition/Fees</v>
      </c>
      <c r="C75" s="374"/>
      <c r="D75" s="375"/>
      <c r="E75" s="375"/>
      <c r="F75" s="375"/>
      <c r="G75" s="375"/>
      <c r="H75" s="358"/>
      <c r="I75" s="375"/>
      <c r="J75" s="375"/>
      <c r="K75" s="393">
        <f>IF($H$188="Yes", 'Federal Grad Student'!C103, 0)</f>
        <v>0</v>
      </c>
      <c r="L75" s="25"/>
      <c r="M75" s="25"/>
      <c r="N75" s="425" t="s">
        <v>45</v>
      </c>
      <c r="O75" s="425"/>
      <c r="P75" s="866"/>
      <c r="Q75" s="866"/>
      <c r="R75" s="866"/>
      <c r="S75" s="866"/>
      <c r="T75" s="866"/>
      <c r="U75" s="866"/>
      <c r="V75" s="866"/>
      <c r="W75" s="866"/>
      <c r="Y75" s="492"/>
      <c r="Z75" s="261"/>
      <c r="AA75" s="272"/>
      <c r="AB75" s="262"/>
      <c r="AC75" s="262"/>
      <c r="AD75" s="261"/>
      <c r="AE75" s="273"/>
      <c r="AG75" s="49"/>
      <c r="AH75" s="49"/>
      <c r="AJ75" s="50"/>
      <c r="AK75" s="50"/>
      <c r="AM75" s="50"/>
      <c r="AN75" s="50"/>
      <c r="AO75" s="50"/>
    </row>
    <row r="76" spans="1:43" ht="4.5" customHeight="1" x14ac:dyDescent="0.3">
      <c r="A76" s="133"/>
      <c r="B76" s="21"/>
      <c r="C76" s="45"/>
      <c r="D76" s="22"/>
      <c r="E76" s="22"/>
      <c r="F76" s="22"/>
      <c r="G76" s="22"/>
      <c r="H76" s="25"/>
      <c r="I76" s="52"/>
      <c r="J76" s="52"/>
      <c r="K76" s="608"/>
      <c r="L76" s="25"/>
      <c r="M76" s="25"/>
      <c r="N76" s="425"/>
      <c r="O76" s="425"/>
      <c r="P76" s="866"/>
      <c r="Q76" s="866"/>
      <c r="R76" s="866"/>
      <c r="S76" s="866"/>
      <c r="T76" s="866"/>
      <c r="U76" s="866"/>
      <c r="V76" s="866"/>
      <c r="W76" s="866"/>
      <c r="Y76" s="492"/>
      <c r="Z76" s="261"/>
      <c r="AA76" s="272"/>
      <c r="AB76" s="262"/>
      <c r="AC76" s="262"/>
      <c r="AD76" s="261"/>
      <c r="AE76" s="273"/>
      <c r="AG76" s="9"/>
      <c r="AH76" s="9"/>
      <c r="AJ76" s="159"/>
      <c r="AK76" s="159"/>
      <c r="AM76" s="48"/>
      <c r="AN76" s="48"/>
      <c r="AO76" s="48">
        <f t="shared" si="32"/>
        <v>0</v>
      </c>
    </row>
    <row r="77" spans="1:43" ht="21.75" customHeight="1" x14ac:dyDescent="0.3">
      <c r="A77" s="377" t="s">
        <v>218</v>
      </c>
      <c r="B77" s="378"/>
      <c r="C77" s="379"/>
      <c r="D77" s="380"/>
      <c r="E77" s="379"/>
      <c r="F77" s="380"/>
      <c r="G77" s="227"/>
      <c r="H77" s="381" t="s">
        <v>45</v>
      </c>
      <c r="I77" s="345"/>
      <c r="J77" s="296" t="s">
        <v>263</v>
      </c>
      <c r="K77" s="487">
        <v>0</v>
      </c>
      <c r="L77" s="25"/>
      <c r="M77" s="25"/>
      <c r="N77" s="866"/>
      <c r="O77" s="866"/>
      <c r="P77" s="866"/>
      <c r="Q77" s="866"/>
      <c r="R77" s="866"/>
      <c r="S77" s="866"/>
      <c r="T77" s="866"/>
      <c r="U77" s="866"/>
      <c r="V77" s="866"/>
      <c r="W77" s="866"/>
      <c r="Y77" s="505"/>
      <c r="Z77" s="506"/>
      <c r="AA77" s="507"/>
      <c r="AB77" s="508"/>
      <c r="AC77" s="508"/>
      <c r="AD77" s="297">
        <v>0</v>
      </c>
      <c r="AE77" s="500"/>
      <c r="AJ77" s="122">
        <v>0</v>
      </c>
      <c r="AK77" s="122">
        <v>0</v>
      </c>
      <c r="AM77" s="134"/>
      <c r="AN77" s="134"/>
      <c r="AO77" s="48">
        <f t="shared" si="32"/>
        <v>0</v>
      </c>
    </row>
    <row r="78" spans="1:43" ht="16.5" customHeight="1" thickBot="1" x14ac:dyDescent="0.3">
      <c r="A78" s="652" t="s">
        <v>66</v>
      </c>
      <c r="B78" s="652"/>
      <c r="C78" s="652"/>
      <c r="D78" s="652"/>
      <c r="E78" s="652"/>
      <c r="F78" s="652"/>
      <c r="G78" s="652"/>
      <c r="H78" s="652"/>
      <c r="I78" s="652"/>
      <c r="J78" s="653"/>
      <c r="K78" s="395">
        <f>SUM(E66:E70)+SUM(K66:K70)+SUM(K73:K75)+G77+K77</f>
        <v>0</v>
      </c>
      <c r="L78" s="175"/>
      <c r="M78" s="175"/>
      <c r="N78" s="866"/>
      <c r="O78" s="866"/>
      <c r="P78" s="866"/>
      <c r="Q78" s="866"/>
      <c r="R78" s="866"/>
      <c r="S78" s="866"/>
      <c r="T78" s="866"/>
      <c r="U78" s="866"/>
      <c r="V78" s="866"/>
      <c r="W78" s="866"/>
      <c r="Y78" s="866"/>
      <c r="Z78" s="868"/>
      <c r="AA78" s="868"/>
      <c r="AB78" s="866"/>
      <c r="AC78" s="866"/>
      <c r="AD78" s="868"/>
      <c r="AE78" s="868"/>
      <c r="AG78" s="4">
        <f>SUM(AG66:AG75)</f>
        <v>0</v>
      </c>
      <c r="AH78" s="4">
        <f>SUM(AH66:AH75)</f>
        <v>0</v>
      </c>
      <c r="AJ78" s="4">
        <f>SUM(AJ66:AJ75)</f>
        <v>0</v>
      </c>
      <c r="AK78" s="4">
        <f>SUM(AK66:AK75)</f>
        <v>0</v>
      </c>
      <c r="AM78" s="4">
        <f>SUM(AM66:AM75)</f>
        <v>0</v>
      </c>
      <c r="AN78" s="4">
        <f>SUM(AN66:AN75)</f>
        <v>0</v>
      </c>
      <c r="AO78" s="135">
        <f t="shared" si="32"/>
        <v>0</v>
      </c>
    </row>
    <row r="79" spans="1:43" ht="16.5" customHeight="1" x14ac:dyDescent="0.25">
      <c r="A79" s="910"/>
      <c r="B79" s="226"/>
      <c r="C79" s="301"/>
      <c r="D79" s="301"/>
      <c r="E79" s="301"/>
      <c r="F79" s="301"/>
      <c r="G79" s="301"/>
      <c r="H79" s="301"/>
      <c r="I79" s="301"/>
      <c r="J79" s="301"/>
      <c r="K79" s="396"/>
      <c r="L79" s="180"/>
      <c r="M79" s="180"/>
      <c r="N79" s="866"/>
      <c r="O79" s="866"/>
      <c r="P79" s="866"/>
      <c r="Q79" s="866"/>
      <c r="R79" s="866"/>
      <c r="S79" s="866"/>
      <c r="T79" s="866"/>
      <c r="U79" s="866"/>
      <c r="V79" s="866"/>
      <c r="W79" s="866"/>
      <c r="Y79" s="866"/>
      <c r="Z79" s="868"/>
      <c r="AA79" s="868"/>
      <c r="AB79" s="866"/>
      <c r="AC79" s="866"/>
      <c r="AD79" s="868"/>
      <c r="AE79" s="868"/>
      <c r="AM79" s="126"/>
      <c r="AN79" s="121"/>
    </row>
    <row r="80" spans="1:43" ht="16.5" customHeight="1" x14ac:dyDescent="0.25">
      <c r="A80" s="428" t="s">
        <v>74</v>
      </c>
      <c r="B80" s="429"/>
      <c r="C80" s="301"/>
      <c r="D80" s="301"/>
      <c r="E80" s="301"/>
      <c r="F80" s="301"/>
      <c r="G80" s="301"/>
      <c r="H80" s="301"/>
      <c r="I80" s="301"/>
      <c r="J80" s="301"/>
      <c r="K80" s="397">
        <f>SUM(K29,K34,K39,K45,K50,K55,K63,K78)</f>
        <v>0</v>
      </c>
      <c r="L80" s="175"/>
      <c r="M80" s="175"/>
      <c r="N80" s="866"/>
      <c r="O80" s="866"/>
      <c r="P80" s="866"/>
      <c r="Q80" s="866"/>
      <c r="R80" s="866"/>
      <c r="S80" s="866"/>
      <c r="T80" s="866"/>
      <c r="U80" s="866"/>
      <c r="V80" s="866"/>
      <c r="W80" s="866"/>
      <c r="Y80" s="866"/>
      <c r="Z80" s="868"/>
      <c r="AA80" s="868"/>
      <c r="AB80" s="866"/>
      <c r="AC80" s="866"/>
      <c r="AD80" s="868"/>
      <c r="AE80" s="868"/>
      <c r="AK80" s="126" t="s">
        <v>165</v>
      </c>
      <c r="AM80" s="121">
        <f>AM29+AM39+AM45+AM50+AM58+AM62+AM78</f>
        <v>0</v>
      </c>
      <c r="AN80" s="121">
        <f>AN29+AN39+AN45+AN50+AN58+AN62+AN78</f>
        <v>0</v>
      </c>
      <c r="AO80" s="121">
        <f>AO29+AO39+AO45+AO50+AO58+AO62+AO78</f>
        <v>0</v>
      </c>
      <c r="AP80" s="509">
        <f>I101</f>
        <v>0</v>
      </c>
      <c r="AQ80" s="509">
        <f>AP80-AO80</f>
        <v>0</v>
      </c>
    </row>
    <row r="81" spans="1:49" ht="16.5" customHeight="1" x14ac:dyDescent="0.25">
      <c r="A81" s="428"/>
      <c r="B81" s="429"/>
      <c r="C81" s="301"/>
      <c r="D81" s="301"/>
      <c r="E81" s="301"/>
      <c r="F81" s="301"/>
      <c r="G81" s="301"/>
      <c r="H81" s="301"/>
      <c r="I81" s="301"/>
      <c r="J81" s="301"/>
      <c r="K81" s="338"/>
      <c r="L81" s="180"/>
      <c r="M81" s="180"/>
      <c r="N81" s="866"/>
      <c r="O81" s="866"/>
      <c r="P81" s="866"/>
      <c r="Q81" s="866"/>
      <c r="R81" s="866"/>
      <c r="S81" s="866"/>
      <c r="T81" s="866"/>
      <c r="U81" s="866"/>
      <c r="V81" s="866"/>
      <c r="W81" s="866"/>
      <c r="Y81" s="866"/>
      <c r="Z81" s="868"/>
      <c r="AA81" s="868"/>
      <c r="AB81" s="866"/>
      <c r="AC81" s="866"/>
      <c r="AD81" s="868"/>
      <c r="AE81" s="868"/>
      <c r="AK81" s="867" t="s">
        <v>179</v>
      </c>
      <c r="AM81" s="101">
        <f>I90</f>
        <v>0</v>
      </c>
      <c r="AN81" s="101">
        <f>I94</f>
        <v>0</v>
      </c>
      <c r="AO81" s="220" t="e">
        <f>(AM81*AM83)+(AN81*AN83)</f>
        <v>#DIV/0!</v>
      </c>
    </row>
    <row r="82" spans="1:49" ht="16.5" customHeight="1" x14ac:dyDescent="0.25">
      <c r="A82" s="341" t="s">
        <v>23</v>
      </c>
      <c r="B82" s="342"/>
      <c r="C82" s="301"/>
      <c r="D82" s="301"/>
      <c r="E82" s="301"/>
      <c r="F82" s="301"/>
      <c r="G82" s="301"/>
      <c r="H82" s="301"/>
      <c r="I82" s="301"/>
      <c r="J82" s="301"/>
      <c r="K82" s="338"/>
      <c r="L82" s="180"/>
      <c r="M82" s="180"/>
      <c r="N82" s="866"/>
      <c r="O82" s="866"/>
      <c r="P82" s="866"/>
      <c r="Q82" s="866"/>
      <c r="R82" s="866"/>
      <c r="S82" s="866"/>
      <c r="T82" s="866"/>
      <c r="U82" s="866"/>
      <c r="V82" s="866"/>
      <c r="W82" s="866"/>
      <c r="Y82" s="866"/>
      <c r="Z82" s="868"/>
      <c r="AA82" s="868"/>
      <c r="AB82" s="866"/>
      <c r="AC82" s="866"/>
      <c r="AD82" s="868"/>
      <c r="AE82" s="868"/>
      <c r="AK82" s="126" t="s">
        <v>181</v>
      </c>
      <c r="AM82" s="121">
        <f>AM80*AM81</f>
        <v>0</v>
      </c>
      <c r="AN82" s="121">
        <f>AN80*AN81</f>
        <v>0</v>
      </c>
      <c r="AO82" s="128">
        <f>AM82+AN82</f>
        <v>0</v>
      </c>
    </row>
    <row r="83" spans="1:49" ht="16.5" customHeight="1" x14ac:dyDescent="0.25">
      <c r="A83" s="910" t="s">
        <v>26</v>
      </c>
      <c r="B83" s="342"/>
      <c r="C83" s="301"/>
      <c r="D83" s="301"/>
      <c r="E83" s="301"/>
      <c r="F83" s="301"/>
      <c r="G83" s="301"/>
      <c r="H83" s="301"/>
      <c r="I83" s="398">
        <f>K80-K63+I61</f>
        <v>0</v>
      </c>
      <c r="J83" s="301"/>
      <c r="K83" s="338"/>
      <c r="L83" s="180"/>
      <c r="M83" s="180"/>
      <c r="N83" s="326"/>
      <c r="O83" s="326"/>
      <c r="P83" s="326"/>
      <c r="Q83" s="326"/>
      <c r="R83" s="326"/>
      <c r="S83" s="326"/>
      <c r="T83" s="326"/>
      <c r="U83" s="326"/>
      <c r="V83" s="326"/>
      <c r="W83" s="326"/>
      <c r="X83" s="13"/>
      <c r="Y83" s="326"/>
      <c r="Z83" s="510"/>
      <c r="AA83" s="510"/>
      <c r="AB83" s="326"/>
      <c r="AC83" s="326"/>
      <c r="AD83" s="510"/>
      <c r="AE83" s="510"/>
      <c r="AF83" s="13"/>
      <c r="AG83" s="13"/>
      <c r="AK83" s="126" t="s">
        <v>183</v>
      </c>
      <c r="AM83" s="125" t="e">
        <f>AM80/AO80</f>
        <v>#DIV/0!</v>
      </c>
      <c r="AN83" s="125" t="e">
        <f>AN80/AO80</f>
        <v>#DIV/0!</v>
      </c>
      <c r="AO83" s="155" t="e">
        <f>AM83+AN83</f>
        <v>#DIV/0!</v>
      </c>
      <c r="AP83" s="13"/>
      <c r="AQ83" s="13"/>
      <c r="AR83" s="13"/>
      <c r="AS83" s="13"/>
      <c r="AT83" s="13"/>
      <c r="AU83" s="13"/>
      <c r="AV83" s="13"/>
      <c r="AW83" s="13"/>
    </row>
    <row r="84" spans="1:49" ht="16.5" customHeight="1" thickBot="1" x14ac:dyDescent="0.3">
      <c r="A84" s="910" t="s">
        <v>75</v>
      </c>
      <c r="B84" s="226"/>
      <c r="C84" s="301"/>
      <c r="D84" s="301"/>
      <c r="E84" s="301"/>
      <c r="F84" s="301"/>
      <c r="G84" s="301"/>
      <c r="H84" s="301"/>
      <c r="I84" s="398">
        <f>K80-J63</f>
        <v>0</v>
      </c>
      <c r="J84" s="301"/>
      <c r="K84" s="516"/>
      <c r="L84" s="58"/>
      <c r="M84" s="58"/>
      <c r="N84" s="326"/>
      <c r="O84" s="326"/>
      <c r="P84" s="326"/>
      <c r="Q84" s="326"/>
      <c r="R84" s="326"/>
      <c r="S84" s="326"/>
      <c r="T84" s="326"/>
      <c r="U84" s="326"/>
      <c r="V84" s="326"/>
      <c r="W84" s="326"/>
      <c r="X84" s="13"/>
      <c r="Y84" s="326"/>
      <c r="Z84" s="510"/>
      <c r="AA84" s="510"/>
      <c r="AB84" s="326"/>
      <c r="AC84" s="326"/>
      <c r="AD84" s="510"/>
      <c r="AE84" s="510"/>
      <c r="AF84" s="13"/>
      <c r="AG84" s="13"/>
      <c r="AJ84" s="13"/>
      <c r="AK84" s="13"/>
      <c r="AL84" s="13"/>
      <c r="AM84" s="13"/>
      <c r="AN84" s="13"/>
      <c r="AP84" s="13"/>
      <c r="AQ84" s="13"/>
      <c r="AR84" s="13"/>
      <c r="AS84" s="13"/>
      <c r="AT84" s="13"/>
      <c r="AU84" s="13"/>
      <c r="AV84" s="13"/>
      <c r="AW84" s="13"/>
    </row>
    <row r="85" spans="1:49" ht="16.5" customHeight="1" thickTop="1" thickBot="1" x14ac:dyDescent="0.3">
      <c r="A85" s="910" t="s">
        <v>108</v>
      </c>
      <c r="B85" s="226"/>
      <c r="C85" s="301"/>
      <c r="D85" s="301"/>
      <c r="E85" s="301"/>
      <c r="F85" s="301"/>
      <c r="G85" s="301"/>
      <c r="H85" s="301"/>
      <c r="I85" s="301"/>
      <c r="J85" s="301"/>
      <c r="K85" s="609">
        <v>0</v>
      </c>
      <c r="L85" s="175"/>
      <c r="M85" s="175"/>
      <c r="N85" s="426"/>
      <c r="O85" s="426"/>
      <c r="P85" s="326"/>
      <c r="Q85" s="326"/>
      <c r="R85" s="326"/>
      <c r="S85" s="326"/>
      <c r="T85" s="326"/>
      <c r="U85" s="326"/>
      <c r="V85" s="326"/>
      <c r="W85" s="326"/>
      <c r="X85" s="13"/>
      <c r="Y85" s="326"/>
      <c r="Z85" s="510"/>
      <c r="AA85" s="510"/>
      <c r="AB85" s="326"/>
      <c r="AC85" s="326"/>
      <c r="AD85" s="510"/>
      <c r="AE85" s="510"/>
      <c r="AF85" s="13"/>
      <c r="AG85" s="13"/>
      <c r="AK85" s="126" t="s">
        <v>190</v>
      </c>
      <c r="AO85" s="121">
        <f>K80</f>
        <v>0</v>
      </c>
      <c r="AP85" s="13"/>
      <c r="AQ85" s="13"/>
      <c r="AR85" s="13"/>
      <c r="AS85" s="13"/>
      <c r="AT85" s="13"/>
      <c r="AU85" s="13"/>
      <c r="AV85" s="13"/>
      <c r="AW85" s="13"/>
    </row>
    <row r="86" spans="1:49" ht="16.5" customHeight="1" thickTop="1" x14ac:dyDescent="0.25">
      <c r="A86" s="910"/>
      <c r="B86" s="226"/>
      <c r="C86" s="301"/>
      <c r="D86" s="301"/>
      <c r="E86" s="301"/>
      <c r="F86" s="301"/>
      <c r="G86" s="301"/>
      <c r="H86" s="301"/>
      <c r="I86" s="301"/>
      <c r="J86" s="301"/>
      <c r="K86" s="517"/>
      <c r="L86" s="180"/>
      <c r="M86" s="180"/>
      <c r="N86" s="326"/>
      <c r="O86" s="326"/>
      <c r="P86" s="326"/>
      <c r="Q86" s="326"/>
      <c r="R86" s="326"/>
      <c r="S86" s="326"/>
      <c r="T86" s="326"/>
      <c r="U86" s="326"/>
      <c r="V86" s="326"/>
      <c r="W86" s="326"/>
      <c r="X86" s="13"/>
      <c r="Y86" s="326"/>
      <c r="Z86" s="510"/>
      <c r="AA86" s="510"/>
      <c r="AB86" s="326"/>
      <c r="AC86" s="326"/>
      <c r="AD86" s="510"/>
      <c r="AE86" s="510"/>
      <c r="AF86" s="13"/>
      <c r="AG86" s="13"/>
      <c r="AH86" s="13"/>
      <c r="AK86" s="126" t="s">
        <v>191</v>
      </c>
      <c r="AO86" s="121">
        <f>I84</f>
        <v>0</v>
      </c>
      <c r="AP86" s="13"/>
      <c r="AQ86" s="13"/>
      <c r="AR86" s="13"/>
      <c r="AS86" s="13"/>
      <c r="AT86" s="13"/>
      <c r="AU86" s="13"/>
      <c r="AV86" s="13"/>
      <c r="AW86" s="13"/>
    </row>
    <row r="87" spans="1:49" ht="16.5" customHeight="1" x14ac:dyDescent="0.25">
      <c r="A87" s="428"/>
      <c r="B87" s="281"/>
      <c r="C87" s="301"/>
      <c r="D87" s="301"/>
      <c r="E87" s="301"/>
      <c r="F87" s="301"/>
      <c r="G87" s="301"/>
      <c r="H87" s="301"/>
      <c r="I87" s="281"/>
      <c r="J87" s="301"/>
      <c r="K87" s="518"/>
      <c r="L87" s="175"/>
      <c r="M87" s="175"/>
      <c r="N87" s="866"/>
      <c r="O87" s="866"/>
      <c r="P87" s="866"/>
      <c r="Q87" s="866"/>
      <c r="R87" s="866"/>
      <c r="S87" s="866"/>
      <c r="T87" s="866"/>
      <c r="U87" s="866"/>
      <c r="V87" s="866"/>
      <c r="W87" s="866"/>
      <c r="Y87" s="866"/>
      <c r="Z87" s="868"/>
      <c r="AA87" s="868"/>
      <c r="AB87" s="866"/>
      <c r="AC87" s="866"/>
      <c r="AD87" s="868"/>
      <c r="AE87" s="868"/>
      <c r="AH87" s="13"/>
      <c r="AI87" s="13"/>
      <c r="AO87" s="4"/>
    </row>
    <row r="88" spans="1:49" ht="24.75" customHeight="1" x14ac:dyDescent="0.25">
      <c r="A88" s="430" t="s">
        <v>212</v>
      </c>
      <c r="B88" s="431"/>
      <c r="C88" s="432"/>
      <c r="D88" s="432"/>
      <c r="E88" s="432"/>
      <c r="F88" s="432"/>
      <c r="G88" s="432"/>
      <c r="H88" s="432"/>
      <c r="I88" s="610" t="s">
        <v>434</v>
      </c>
      <c r="J88" s="261"/>
      <c r="K88" s="518"/>
      <c r="L88" s="175"/>
      <c r="M88" s="175"/>
      <c r="N88" s="866"/>
      <c r="O88" s="866"/>
      <c r="P88" s="866"/>
      <c r="Q88" s="866"/>
      <c r="R88" s="866"/>
      <c r="S88" s="866"/>
      <c r="T88" s="866"/>
      <c r="U88" s="866"/>
      <c r="V88" s="866"/>
      <c r="W88" s="866"/>
      <c r="Y88" s="866"/>
      <c r="Z88" s="868"/>
      <c r="AA88" s="868"/>
      <c r="AB88" s="866"/>
      <c r="AC88" s="866"/>
      <c r="AD88" s="868"/>
      <c r="AE88" s="868"/>
      <c r="AH88" s="13"/>
      <c r="AI88" s="13"/>
    </row>
    <row r="89" spans="1:49" ht="16.5" customHeight="1" thickBot="1" x14ac:dyDescent="0.3">
      <c r="A89" s="403" t="s">
        <v>199</v>
      </c>
      <c r="B89" s="404"/>
      <c r="C89" s="261"/>
      <c r="D89" s="261"/>
      <c r="E89" s="261"/>
      <c r="F89" s="261"/>
      <c r="G89" s="261"/>
      <c r="H89" s="261"/>
      <c r="I89" s="399" t="str">
        <f>IF(AND(C283="Yes",C285="Yes",I197="Yes"),AM108, IF(AND(C283="Yes", C285="No", I197="Yes"), AM80, " "))</f>
        <v xml:space="preserve"> </v>
      </c>
      <c r="J89" s="261"/>
      <c r="K89" s="518"/>
      <c r="L89" s="175"/>
      <c r="M89" s="175"/>
      <c r="N89" s="866"/>
      <c r="O89" s="866"/>
      <c r="P89" s="866"/>
      <c r="Q89" s="866"/>
      <c r="R89" s="866"/>
      <c r="S89" s="866"/>
      <c r="T89" s="866"/>
      <c r="U89" s="866"/>
      <c r="V89" s="866"/>
      <c r="W89" s="866"/>
      <c r="Y89" s="866"/>
      <c r="Z89" s="868"/>
      <c r="AA89" s="868"/>
      <c r="AB89" s="866"/>
      <c r="AC89" s="866"/>
      <c r="AD89" s="868"/>
      <c r="AE89" s="868"/>
      <c r="AI89" s="13"/>
    </row>
    <row r="90" spans="1:49" ht="16.5" customHeight="1" thickTop="1" thickBot="1" x14ac:dyDescent="0.3">
      <c r="A90" s="910" t="s">
        <v>188</v>
      </c>
      <c r="B90" s="404"/>
      <c r="C90" s="261"/>
      <c r="D90" s="261"/>
      <c r="E90" s="261"/>
      <c r="F90" s="261"/>
      <c r="G90" s="261"/>
      <c r="H90" s="261"/>
      <c r="I90" s="612"/>
      <c r="J90" s="261"/>
      <c r="K90" s="518"/>
      <c r="L90" s="175"/>
      <c r="M90" s="175"/>
      <c r="N90" s="866"/>
      <c r="O90" s="866"/>
      <c r="P90" s="866"/>
      <c r="Q90" s="866"/>
      <c r="R90" s="866"/>
      <c r="S90" s="866"/>
      <c r="T90" s="866"/>
      <c r="U90" s="866"/>
      <c r="V90" s="866"/>
      <c r="W90" s="866"/>
      <c r="Y90" s="866"/>
      <c r="Z90" s="868"/>
      <c r="AA90" s="868"/>
      <c r="AB90" s="866"/>
      <c r="AC90" s="866"/>
      <c r="AD90" s="868"/>
      <c r="AE90" s="868"/>
    </row>
    <row r="91" spans="1:49" ht="16.5" customHeight="1" thickTop="1" x14ac:dyDescent="0.25">
      <c r="A91" s="403" t="s">
        <v>201</v>
      </c>
      <c r="B91" s="404"/>
      <c r="C91" s="261"/>
      <c r="D91" s="261"/>
      <c r="E91" s="261"/>
      <c r="F91" s="261"/>
      <c r="G91" s="261"/>
      <c r="H91" s="261"/>
      <c r="I91" s="399" t="str">
        <f>IF(AND(C283="Yes",C285="Yes",I197="Yes"),AM110, IF(AND(C283="Yes", C285="No", I197="Yes"), AM82, " "))</f>
        <v xml:space="preserve"> </v>
      </c>
      <c r="J91" s="261"/>
      <c r="K91" s="518"/>
      <c r="L91" s="175"/>
      <c r="M91" s="175"/>
      <c r="N91" s="866"/>
      <c r="O91" s="866"/>
      <c r="P91" s="866"/>
      <c r="Q91" s="866"/>
      <c r="R91" s="866"/>
      <c r="S91" s="866"/>
      <c r="T91" s="866"/>
      <c r="U91" s="866"/>
      <c r="V91" s="866"/>
      <c r="W91" s="866"/>
      <c r="Y91" s="866"/>
      <c r="Z91" s="868"/>
      <c r="AA91" s="868"/>
      <c r="AB91" s="866"/>
      <c r="AC91" s="866"/>
      <c r="AD91" s="868"/>
      <c r="AE91" s="868"/>
    </row>
    <row r="92" spans="1:49" ht="8.25" customHeight="1" x14ac:dyDescent="0.3">
      <c r="A92" s="405"/>
      <c r="B92" s="404"/>
      <c r="C92" s="261"/>
      <c r="D92" s="261"/>
      <c r="E92" s="261"/>
      <c r="F92" s="261"/>
      <c r="G92" s="406"/>
      <c r="H92" s="407"/>
      <c r="I92" s="400"/>
      <c r="J92" s="261"/>
      <c r="K92" s="518"/>
      <c r="L92" s="175"/>
      <c r="M92" s="175"/>
      <c r="N92" s="866"/>
      <c r="O92" s="866"/>
      <c r="P92" s="866"/>
      <c r="Q92" s="866"/>
      <c r="R92" s="866"/>
      <c r="S92" s="866"/>
      <c r="T92" s="866"/>
      <c r="U92" s="866"/>
      <c r="V92" s="866"/>
      <c r="W92" s="866"/>
      <c r="Y92" s="866"/>
      <c r="Z92" s="868"/>
      <c r="AA92" s="868"/>
      <c r="AB92" s="866"/>
      <c r="AC92" s="866"/>
      <c r="AD92" s="868"/>
      <c r="AE92" s="868"/>
    </row>
    <row r="93" spans="1:49" ht="16.5" customHeight="1" thickBot="1" x14ac:dyDescent="0.3">
      <c r="A93" s="403" t="s">
        <v>200</v>
      </c>
      <c r="B93" s="404"/>
      <c r="C93" s="261"/>
      <c r="D93" s="261"/>
      <c r="E93" s="261"/>
      <c r="F93" s="261"/>
      <c r="G93" s="261"/>
      <c r="H93" s="261"/>
      <c r="I93" s="399" t="str">
        <f>IF(AND(C283="Yes",C285="Yes",I197="Yes"),AN108,IF(AND(C283="Yes",C285="No",I197="Yes"),AN80," "))</f>
        <v xml:space="preserve"> </v>
      </c>
      <c r="J93" s="261"/>
      <c r="K93" s="518"/>
      <c r="L93" s="175"/>
      <c r="M93" s="175"/>
      <c r="N93" s="866"/>
      <c r="O93" s="866"/>
      <c r="P93" s="866"/>
      <c r="Q93" s="866"/>
      <c r="R93" s="866"/>
      <c r="S93" s="866"/>
      <c r="T93" s="866"/>
      <c r="U93" s="866"/>
      <c r="V93" s="866"/>
      <c r="W93" s="866"/>
      <c r="Y93" s="866"/>
      <c r="Z93" s="868"/>
      <c r="AA93" s="868"/>
      <c r="AB93" s="866"/>
      <c r="AC93" s="866"/>
      <c r="AD93" s="868"/>
      <c r="AE93" s="868"/>
    </row>
    <row r="94" spans="1:49" ht="16.5" customHeight="1" thickTop="1" thickBot="1" x14ac:dyDescent="0.3">
      <c r="A94" s="910" t="s">
        <v>52</v>
      </c>
      <c r="B94" s="404"/>
      <c r="C94" s="261"/>
      <c r="D94" s="261"/>
      <c r="E94" s="261"/>
      <c r="F94" s="261"/>
      <c r="G94" s="261"/>
      <c r="H94" s="261"/>
      <c r="I94" s="612"/>
      <c r="J94" s="261"/>
      <c r="K94" s="518"/>
      <c r="L94" s="175"/>
      <c r="M94" s="175"/>
      <c r="N94" s="866"/>
      <c r="O94" s="866"/>
      <c r="P94" s="866"/>
      <c r="Q94" s="866"/>
      <c r="R94" s="866"/>
      <c r="S94" s="866"/>
      <c r="T94" s="866"/>
      <c r="U94" s="866"/>
      <c r="V94" s="866"/>
      <c r="W94" s="866"/>
      <c r="Y94" s="866"/>
      <c r="Z94" s="868"/>
      <c r="AA94" s="868"/>
      <c r="AB94" s="866"/>
      <c r="AC94" s="866"/>
      <c r="AD94" s="868"/>
      <c r="AE94" s="868"/>
    </row>
    <row r="95" spans="1:49" ht="16.5" customHeight="1" thickTop="1" x14ac:dyDescent="0.25">
      <c r="A95" s="403" t="s">
        <v>202</v>
      </c>
      <c r="B95" s="226"/>
      <c r="C95" s="301"/>
      <c r="D95" s="301"/>
      <c r="E95" s="301"/>
      <c r="F95" s="301"/>
      <c r="G95" s="301"/>
      <c r="H95" s="301"/>
      <c r="I95" s="401" t="str">
        <f>IF(AND(C283="Yes",C285="Yes",I197="Yes"),AN110,IF(AND(C283="Yes",C285="No",I197="Yes"),AN82," "))</f>
        <v xml:space="preserve"> </v>
      </c>
      <c r="J95" s="301"/>
      <c r="K95" s="518"/>
      <c r="L95" s="175"/>
      <c r="M95" s="175"/>
      <c r="N95" s="866"/>
      <c r="O95" s="866"/>
      <c r="P95" s="866"/>
      <c r="Q95" s="866"/>
      <c r="R95" s="866"/>
      <c r="S95" s="866"/>
      <c r="T95" s="866"/>
      <c r="U95" s="866"/>
      <c r="V95" s="866"/>
      <c r="W95" s="866"/>
      <c r="Y95" s="866"/>
      <c r="Z95" s="868"/>
      <c r="AA95" s="868"/>
      <c r="AB95" s="866"/>
      <c r="AC95" s="866"/>
      <c r="AD95" s="868"/>
      <c r="AE95" s="868"/>
    </row>
    <row r="96" spans="1:49" ht="5.25" customHeight="1" x14ac:dyDescent="0.3">
      <c r="A96" s="405"/>
      <c r="B96" s="226"/>
      <c r="C96" s="301"/>
      <c r="D96" s="301"/>
      <c r="E96" s="301"/>
      <c r="F96" s="301"/>
      <c r="G96" s="406"/>
      <c r="H96" s="407"/>
      <c r="I96" s="434"/>
      <c r="J96" s="301"/>
      <c r="K96" s="518"/>
      <c r="L96" s="175"/>
      <c r="M96" s="175"/>
      <c r="N96" s="866"/>
      <c r="O96" s="866"/>
      <c r="P96" s="866"/>
      <c r="Q96" s="866"/>
      <c r="R96" s="866"/>
      <c r="S96" s="866"/>
      <c r="T96" s="866"/>
      <c r="U96" s="866"/>
      <c r="V96" s="866"/>
      <c r="W96" s="866"/>
      <c r="Y96" s="866"/>
      <c r="Z96" s="868"/>
      <c r="AA96" s="868"/>
      <c r="AB96" s="866"/>
      <c r="AC96" s="866"/>
      <c r="AD96" s="868"/>
      <c r="AE96" s="868"/>
    </row>
    <row r="97" spans="1:49" ht="16.5" customHeight="1" x14ac:dyDescent="0.25">
      <c r="A97" s="403"/>
      <c r="B97" s="412" t="str">
        <f>IF(I197="Yes", "Combined F&amp;A Rate", " ")</f>
        <v xml:space="preserve"> </v>
      </c>
      <c r="C97" s="413" t="str">
        <f>IF(I197="Yes", AO81, " ")</f>
        <v xml:space="preserve"> </v>
      </c>
      <c r="D97" s="866"/>
      <c r="E97" s="301"/>
      <c r="F97" s="301"/>
      <c r="G97" s="410" t="str">
        <f>IF(I197="Yes", "Amount of Base Subtotal", " ")</f>
        <v xml:space="preserve"> </v>
      </c>
      <c r="H97" s="614" t="str">
        <f>IF(I197="Yes", I89+I93, " ")</f>
        <v xml:space="preserve"> </v>
      </c>
      <c r="I97" s="435"/>
      <c r="J97" s="301"/>
      <c r="K97" s="518"/>
      <c r="L97" s="175"/>
      <c r="M97" s="175"/>
      <c r="N97" s="866"/>
      <c r="O97" s="866"/>
      <c r="P97" s="866"/>
      <c r="Q97" s="866"/>
      <c r="R97" s="866"/>
      <c r="S97" s="866"/>
      <c r="T97" s="866"/>
      <c r="U97" s="866"/>
      <c r="V97" s="866"/>
      <c r="W97" s="866"/>
      <c r="Y97" s="866"/>
      <c r="Z97" s="868"/>
      <c r="AA97" s="868"/>
      <c r="AB97" s="866"/>
      <c r="AC97" s="866"/>
      <c r="AD97" s="868"/>
      <c r="AE97" s="868"/>
    </row>
    <row r="98" spans="1:49" ht="16.5" customHeight="1" thickBot="1" x14ac:dyDescent="0.3">
      <c r="A98" s="408" t="s">
        <v>156</v>
      </c>
      <c r="B98" s="409"/>
      <c r="C98" s="375"/>
      <c r="D98" s="375"/>
      <c r="E98" s="375"/>
      <c r="F98" s="375"/>
      <c r="G98" s="375"/>
      <c r="H98" s="375"/>
      <c r="I98" s="402" t="str">
        <f>IF(AND(C283="Yes",C285="Yes",I197="Yes"),I91+I95, IF(AND(C283="Yes", C285="No", I197="Yes"), I91+I95, " "))</f>
        <v xml:space="preserve"> </v>
      </c>
      <c r="J98" s="301"/>
      <c r="K98" s="518"/>
      <c r="L98" s="175"/>
      <c r="M98" s="175"/>
      <c r="N98" s="866"/>
      <c r="O98" s="866"/>
      <c r="P98" s="866"/>
      <c r="Q98" s="866"/>
      <c r="R98" s="866"/>
      <c r="S98" s="866"/>
      <c r="T98" s="866"/>
      <c r="U98" s="866"/>
      <c r="V98" s="866"/>
      <c r="W98" s="866"/>
      <c r="Y98" s="866"/>
      <c r="Z98" s="868"/>
      <c r="AA98" s="868"/>
      <c r="AB98" s="866"/>
      <c r="AC98" s="866"/>
      <c r="AD98" s="868"/>
      <c r="AE98" s="868"/>
      <c r="AK98" s="127" t="s">
        <v>193</v>
      </c>
      <c r="AO98" s="121">
        <f>K85</f>
        <v>0</v>
      </c>
    </row>
    <row r="99" spans="1:49" ht="16.5" customHeight="1" x14ac:dyDescent="0.25">
      <c r="A99" s="910"/>
      <c r="B99" s="226"/>
      <c r="C99" s="262"/>
      <c r="D99" s="262"/>
      <c r="E99" s="262"/>
      <c r="F99" s="262"/>
      <c r="G99" s="262"/>
      <c r="H99" s="415"/>
      <c r="I99" s="301"/>
      <c r="J99" s="301"/>
      <c r="K99" s="416"/>
      <c r="L99" s="174"/>
      <c r="M99" s="174"/>
      <c r="N99" s="866"/>
      <c r="O99" s="866"/>
      <c r="P99" s="866"/>
      <c r="Q99" s="866"/>
      <c r="R99" s="866"/>
      <c r="S99" s="866"/>
      <c r="T99" s="866"/>
      <c r="U99" s="866"/>
      <c r="V99" s="866"/>
      <c r="W99" s="866"/>
      <c r="Y99" s="866"/>
      <c r="Z99" s="868"/>
      <c r="AA99" s="868"/>
      <c r="AB99" s="866"/>
      <c r="AC99" s="866"/>
      <c r="AD99" s="868"/>
      <c r="AE99" s="868"/>
      <c r="AJ99" s="13"/>
      <c r="AK99" s="127" t="s">
        <v>192</v>
      </c>
      <c r="AL99" s="13"/>
      <c r="AM99" s="14"/>
      <c r="AN99" s="4"/>
      <c r="AO99" s="128">
        <f>AO86</f>
        <v>0</v>
      </c>
    </row>
    <row r="100" spans="1:49" ht="16.5" customHeight="1" x14ac:dyDescent="0.25">
      <c r="A100" s="341" t="s">
        <v>49</v>
      </c>
      <c r="B100" s="342"/>
      <c r="C100" s="301"/>
      <c r="D100" s="301"/>
      <c r="E100" s="301"/>
      <c r="F100" s="301"/>
      <c r="G100" s="301"/>
      <c r="H100" s="301"/>
      <c r="I100" s="301"/>
      <c r="J100" s="301"/>
      <c r="K100" s="338"/>
      <c r="L100" s="180"/>
      <c r="M100" s="180"/>
      <c r="N100" s="326"/>
      <c r="O100" s="326"/>
      <c r="P100" s="326"/>
      <c r="Q100" s="326"/>
      <c r="R100" s="326"/>
      <c r="S100" s="326"/>
      <c r="T100" s="326"/>
      <c r="U100" s="326"/>
      <c r="V100" s="326"/>
      <c r="W100" s="326"/>
      <c r="X100" s="13"/>
      <c r="Y100" s="326"/>
      <c r="Z100" s="510"/>
      <c r="AA100" s="510"/>
      <c r="AB100" s="326"/>
      <c r="AC100" s="326"/>
      <c r="AD100" s="510"/>
      <c r="AE100" s="510"/>
      <c r="AF100" s="13"/>
      <c r="AG100" s="13"/>
      <c r="AH100" s="13"/>
      <c r="AI100" s="13"/>
      <c r="AJ100" s="13"/>
      <c r="AK100" s="127" t="s">
        <v>163</v>
      </c>
      <c r="AL100" s="13"/>
      <c r="AM100" s="13"/>
      <c r="AO100" s="158">
        <f>IF(AO99&gt;AO98, 0, AO98-AO99)</f>
        <v>0</v>
      </c>
      <c r="AP100" s="13"/>
      <c r="AQ100" s="13"/>
      <c r="AR100" s="13"/>
      <c r="AS100" s="13"/>
      <c r="AT100" s="13"/>
      <c r="AU100" s="13"/>
      <c r="AV100" s="13"/>
      <c r="AW100" s="13"/>
    </row>
    <row r="101" spans="1:49" ht="16.5" customHeight="1" thickBot="1" x14ac:dyDescent="0.3">
      <c r="A101" s="910" t="s">
        <v>24</v>
      </c>
      <c r="B101" s="226"/>
      <c r="C101" s="301"/>
      <c r="D101" s="301"/>
      <c r="E101" s="301"/>
      <c r="F101" s="301"/>
      <c r="G101" s="301"/>
      <c r="H101" s="301"/>
      <c r="I101" s="411">
        <f>IF(AND(C283="Yes",C285="Yes"),K85-I63-G77-K75-K55-K34+K186+K129,IF(AND(C283="Yes",C285="No"),I84-I63-G77-K75-K55-K34+K186+K129, K80-K230-K231-K232))</f>
        <v>0</v>
      </c>
      <c r="J101" s="261"/>
      <c r="K101" s="338"/>
      <c r="L101" s="180"/>
      <c r="M101" s="180"/>
      <c r="N101" s="426"/>
      <c r="O101" s="426"/>
      <c r="P101" s="427"/>
      <c r="Q101" s="326"/>
      <c r="R101" s="326"/>
      <c r="S101" s="326"/>
      <c r="T101" s="326"/>
      <c r="U101" s="326"/>
      <c r="V101" s="326"/>
      <c r="W101" s="326"/>
      <c r="X101" s="13"/>
      <c r="Y101" s="326"/>
      <c r="Z101" s="510"/>
      <c r="AA101" s="510"/>
      <c r="AB101" s="326"/>
      <c r="AC101" s="326"/>
      <c r="AD101" s="510"/>
      <c r="AE101" s="510"/>
      <c r="AF101" s="13"/>
      <c r="AG101" s="13"/>
      <c r="AH101" s="13"/>
      <c r="AI101" s="13"/>
      <c r="AK101" s="126" t="s">
        <v>164</v>
      </c>
      <c r="AM101" s="125" t="e">
        <f>AM80/AO80</f>
        <v>#DIV/0!</v>
      </c>
      <c r="AN101" s="125" t="e">
        <f>AN80/AO80</f>
        <v>#DIV/0!</v>
      </c>
      <c r="AO101" s="152" t="e">
        <f>AM101+AN101</f>
        <v>#DIV/0!</v>
      </c>
      <c r="AP101" s="13"/>
      <c r="AQ101" s="13"/>
      <c r="AR101" s="13"/>
      <c r="AS101" s="13"/>
      <c r="AT101" s="13"/>
      <c r="AU101" s="13"/>
      <c r="AV101" s="13"/>
      <c r="AW101" s="13"/>
    </row>
    <row r="102" spans="1:49" ht="16.5" customHeight="1" thickTop="1" thickBot="1" x14ac:dyDescent="0.3">
      <c r="A102" s="910" t="s">
        <v>52</v>
      </c>
      <c r="B102" s="226"/>
      <c r="C102" s="301"/>
      <c r="D102" s="301"/>
      <c r="E102" s="301"/>
      <c r="F102" s="301"/>
      <c r="G102" s="301"/>
      <c r="H102" s="301"/>
      <c r="I102" s="616">
        <v>0.69499999999999995</v>
      </c>
      <c r="J102" s="433"/>
      <c r="K102" s="520"/>
      <c r="L102" s="174"/>
      <c r="M102" s="174"/>
      <c r="N102" s="326"/>
      <c r="O102" s="326"/>
      <c r="P102" s="427"/>
      <c r="Q102" s="326"/>
      <c r="R102" s="326"/>
      <c r="S102" s="326"/>
      <c r="T102" s="326"/>
      <c r="U102" s="326"/>
      <c r="V102" s="326"/>
      <c r="W102" s="326"/>
      <c r="X102" s="13"/>
      <c r="Y102" s="326"/>
      <c r="Z102" s="510"/>
      <c r="AA102" s="510"/>
      <c r="AB102" s="326"/>
      <c r="AC102" s="326"/>
      <c r="AD102" s="510"/>
      <c r="AE102" s="510"/>
      <c r="AF102" s="13"/>
      <c r="AG102" s="13"/>
      <c r="AH102" s="13"/>
      <c r="AI102" s="13"/>
      <c r="AO102" s="13"/>
      <c r="AP102" s="13"/>
      <c r="AQ102" s="13"/>
      <c r="AR102" s="13"/>
      <c r="AS102" s="13"/>
      <c r="AT102" s="13"/>
      <c r="AU102" s="13"/>
      <c r="AV102" s="13"/>
      <c r="AW102" s="13"/>
    </row>
    <row r="103" spans="1:49" ht="16.5" customHeight="1" thickTop="1" thickBot="1" x14ac:dyDescent="0.3">
      <c r="A103" s="428" t="s">
        <v>48</v>
      </c>
      <c r="B103" s="226"/>
      <c r="C103" s="301"/>
      <c r="D103" s="301"/>
      <c r="E103" s="301"/>
      <c r="F103" s="301"/>
      <c r="G103" s="301"/>
      <c r="H103" s="301"/>
      <c r="I103" s="301"/>
      <c r="J103" s="301"/>
      <c r="K103" s="414">
        <f>IF(I197="No", I101*I102, " ")</f>
        <v>0</v>
      </c>
      <c r="L103" s="175"/>
      <c r="M103" s="175"/>
      <c r="N103" s="866"/>
      <c r="O103" s="866"/>
      <c r="P103" s="866"/>
      <c r="Q103" s="866"/>
      <c r="R103" s="866"/>
      <c r="S103" s="866"/>
      <c r="T103" s="866"/>
      <c r="U103" s="866"/>
      <c r="V103" s="866"/>
      <c r="W103" s="866"/>
      <c r="Y103" s="866"/>
      <c r="Z103" s="868"/>
      <c r="AA103" s="868"/>
      <c r="AB103" s="866"/>
      <c r="AC103" s="866"/>
      <c r="AD103" s="868"/>
      <c r="AE103" s="868"/>
      <c r="AK103" s="126" t="s">
        <v>178</v>
      </c>
      <c r="AM103" s="129" t="e">
        <f>AO100*AM101</f>
        <v>#DIV/0!</v>
      </c>
      <c r="AN103" s="4" t="e">
        <f>AO100*AN101</f>
        <v>#DIV/0!</v>
      </c>
      <c r="AO103" s="4" t="e">
        <f>AM103+AN103</f>
        <v>#DIV/0!</v>
      </c>
    </row>
    <row r="104" spans="1:49" ht="16.5" customHeight="1" x14ac:dyDescent="0.25">
      <c r="A104" s="910"/>
      <c r="B104" s="226"/>
      <c r="C104" s="262"/>
      <c r="D104" s="262"/>
      <c r="E104" s="262"/>
      <c r="F104" s="262"/>
      <c r="G104" s="262"/>
      <c r="H104" s="415"/>
      <c r="I104" s="301"/>
      <c r="J104" s="301"/>
      <c r="K104" s="416"/>
      <c r="L104" s="174"/>
      <c r="M104" s="174"/>
      <c r="N104" s="866"/>
      <c r="O104" s="866"/>
      <c r="P104" s="866"/>
      <c r="Q104" s="866"/>
      <c r="R104" s="866"/>
      <c r="S104" s="866"/>
      <c r="T104" s="866"/>
      <c r="U104" s="866"/>
      <c r="V104" s="866"/>
      <c r="W104" s="866"/>
      <c r="Y104" s="866"/>
      <c r="Z104" s="868"/>
      <c r="AA104" s="868"/>
      <c r="AB104" s="866"/>
      <c r="AC104" s="866"/>
      <c r="AD104" s="868"/>
      <c r="AE104" s="868"/>
      <c r="AK104" s="867" t="s">
        <v>179</v>
      </c>
      <c r="AM104" s="101">
        <f>I90</f>
        <v>0</v>
      </c>
      <c r="AN104" s="101">
        <f>I94</f>
        <v>0</v>
      </c>
      <c r="AO104" s="125" t="e">
        <f>(AM104*AM101)+(AN104*AN101)</f>
        <v>#DIV/0!</v>
      </c>
    </row>
    <row r="105" spans="1:49" ht="16.5" customHeight="1" x14ac:dyDescent="0.25">
      <c r="A105" s="910"/>
      <c r="B105" s="226"/>
      <c r="C105" s="262"/>
      <c r="D105" s="262"/>
      <c r="E105" s="262"/>
      <c r="F105" s="262"/>
      <c r="G105" s="262"/>
      <c r="H105" s="415"/>
      <c r="I105" s="301"/>
      <c r="J105" s="301"/>
      <c r="K105" s="416"/>
      <c r="L105" s="174"/>
      <c r="M105" s="174"/>
      <c r="N105" s="866"/>
      <c r="O105" s="866"/>
      <c r="P105" s="866"/>
      <c r="Q105" s="866"/>
      <c r="R105" s="866"/>
      <c r="S105" s="866"/>
      <c r="T105" s="866"/>
      <c r="U105" s="866"/>
      <c r="V105" s="866"/>
      <c r="W105" s="866"/>
      <c r="Y105" s="866"/>
      <c r="Z105" s="868"/>
      <c r="AA105" s="868"/>
      <c r="AB105" s="866"/>
      <c r="AC105" s="866"/>
      <c r="AD105" s="868"/>
      <c r="AE105" s="868"/>
      <c r="AK105" s="126" t="s">
        <v>180</v>
      </c>
      <c r="AM105" s="4" t="e">
        <f>AM103*AM104</f>
        <v>#DIV/0!</v>
      </c>
      <c r="AN105" s="4" t="e">
        <f>AN103*AN104</f>
        <v>#DIV/0!</v>
      </c>
      <c r="AO105" s="129" t="e">
        <f>AO103*AO104</f>
        <v>#DIV/0!</v>
      </c>
    </row>
    <row r="106" spans="1:49" ht="16.5" customHeight="1" x14ac:dyDescent="0.25">
      <c r="A106" s="910"/>
      <c r="B106" s="226"/>
      <c r="C106" s="262"/>
      <c r="D106" s="262"/>
      <c r="E106" s="262"/>
      <c r="F106" s="262"/>
      <c r="G106" s="262"/>
      <c r="H106" s="415"/>
      <c r="I106" s="301"/>
      <c r="J106" s="301"/>
      <c r="K106" s="416"/>
      <c r="L106" s="174"/>
      <c r="M106" s="174"/>
      <c r="N106" s="866"/>
      <c r="O106" s="866"/>
      <c r="P106" s="866"/>
      <c r="Q106" s="866"/>
      <c r="R106" s="866"/>
      <c r="S106" s="866"/>
      <c r="T106" s="866"/>
      <c r="U106" s="866"/>
      <c r="V106" s="866"/>
      <c r="W106" s="866"/>
      <c r="Y106" s="866"/>
      <c r="Z106" s="868"/>
      <c r="AA106" s="868"/>
      <c r="AB106" s="866"/>
      <c r="AC106" s="866"/>
      <c r="AD106" s="868"/>
      <c r="AE106" s="868"/>
    </row>
    <row r="107" spans="1:49" ht="16.5" customHeight="1" thickBot="1" x14ac:dyDescent="0.3">
      <c r="A107" s="910"/>
      <c r="B107" s="226"/>
      <c r="C107" s="262"/>
      <c r="D107" s="262"/>
      <c r="E107" s="262"/>
      <c r="F107" s="281"/>
      <c r="G107" s="262"/>
      <c r="H107" s="415"/>
      <c r="I107" s="301"/>
      <c r="J107" s="866"/>
      <c r="K107" s="416"/>
      <c r="L107" s="174"/>
      <c r="M107" s="174"/>
      <c r="N107" s="866"/>
      <c r="O107" s="866"/>
      <c r="P107" s="866"/>
      <c r="Q107" s="866"/>
      <c r="R107" s="866"/>
      <c r="S107" s="866"/>
      <c r="T107" s="866"/>
      <c r="U107" s="866"/>
      <c r="V107" s="866"/>
      <c r="W107" s="866"/>
      <c r="Y107" s="866"/>
      <c r="Z107" s="868"/>
      <c r="AA107" s="868"/>
      <c r="AB107" s="866"/>
      <c r="AC107" s="866"/>
      <c r="AD107" s="868"/>
      <c r="AE107" s="868"/>
    </row>
    <row r="108" spans="1:49" ht="16.5" customHeight="1" x14ac:dyDescent="0.25">
      <c r="A108" s="417" t="s">
        <v>18</v>
      </c>
      <c r="B108" s="418"/>
      <c r="C108" s="419"/>
      <c r="D108" s="419"/>
      <c r="E108" s="419"/>
      <c r="F108" s="419"/>
      <c r="G108" s="419"/>
      <c r="H108" s="420"/>
      <c r="I108" s="421"/>
      <c r="J108" s="421"/>
      <c r="K108" s="422">
        <f>IF(AND(C283="Yes",C285="Yes",I197="No"),K85+J63+K103,IF(AND(C283="Yes",C285="No",I197="No"),K80+K103,IF(AND(C283="Yes",C285="Yes",I197="Yes"),K85+J63+I98,IF(AND(C283="Yes",C285="No",I197="Yes"),K80+I98,IF(AND(C283="No", C285="No", I197="No"),K80+K103, K80+K103)))))</f>
        <v>0</v>
      </c>
      <c r="L108" s="175"/>
      <c r="M108" s="175"/>
      <c r="N108" s="866"/>
      <c r="O108" s="866"/>
      <c r="P108" s="866"/>
      <c r="Q108" s="866"/>
      <c r="R108" s="866"/>
      <c r="S108" s="866"/>
      <c r="T108" s="866"/>
      <c r="U108" s="866"/>
      <c r="V108" s="866"/>
      <c r="W108" s="866"/>
      <c r="Y108" s="866"/>
      <c r="Z108" s="868"/>
      <c r="AA108" s="868"/>
      <c r="AB108" s="866"/>
      <c r="AC108" s="866"/>
      <c r="AD108" s="868"/>
      <c r="AE108" s="868"/>
      <c r="AK108" s="126" t="s">
        <v>184</v>
      </c>
      <c r="AM108" s="4" t="e">
        <f>AM80+AM103</f>
        <v>#DIV/0!</v>
      </c>
      <c r="AN108" s="4" t="e">
        <f>AN80+AN103</f>
        <v>#DIV/0!</v>
      </c>
      <c r="AO108" s="4" t="e">
        <f>AM108+AN108</f>
        <v>#DIV/0!</v>
      </c>
    </row>
    <row r="109" spans="1:49" ht="16.5" customHeight="1" x14ac:dyDescent="0.25">
      <c r="A109" s="617"/>
      <c r="B109" s="618"/>
      <c r="C109" s="866"/>
      <c r="D109" s="866"/>
      <c r="E109" s="866"/>
      <c r="F109" s="866"/>
      <c r="G109" s="866"/>
      <c r="H109" s="866"/>
      <c r="I109" s="619"/>
      <c r="J109" s="619"/>
      <c r="K109" s="620"/>
      <c r="L109" s="185"/>
      <c r="M109" s="185"/>
      <c r="N109" s="866"/>
      <c r="O109" s="866"/>
      <c r="P109" s="866"/>
      <c r="Q109" s="866"/>
      <c r="R109" s="866"/>
      <c r="S109" s="866"/>
      <c r="T109" s="866"/>
      <c r="U109" s="866"/>
      <c r="V109" s="866"/>
      <c r="W109" s="866"/>
      <c r="Y109" s="866"/>
      <c r="Z109" s="868"/>
      <c r="AA109" s="868"/>
      <c r="AB109" s="866"/>
      <c r="AC109" s="866"/>
      <c r="AD109" s="868"/>
      <c r="AE109" s="868"/>
      <c r="AK109" s="867" t="s">
        <v>179</v>
      </c>
      <c r="AM109" s="101">
        <f>I90</f>
        <v>0</v>
      </c>
      <c r="AN109" s="101">
        <f>I94</f>
        <v>0</v>
      </c>
      <c r="AO109" s="154" t="e">
        <f>AO104</f>
        <v>#DIV/0!</v>
      </c>
    </row>
    <row r="110" spans="1:49" ht="14.4" thickBot="1" x14ac:dyDescent="0.3">
      <c r="A110" s="843"/>
      <c r="B110" s="844"/>
      <c r="C110" s="845"/>
      <c r="D110" s="845"/>
      <c r="E110" s="845"/>
      <c r="F110" s="845"/>
      <c r="G110" s="845"/>
      <c r="H110" s="845"/>
      <c r="I110" s="845"/>
      <c r="J110" s="845"/>
      <c r="K110" s="845"/>
      <c r="L110" s="186"/>
      <c r="M110" s="186"/>
      <c r="N110" s="866"/>
      <c r="O110" s="866"/>
      <c r="P110" s="866"/>
      <c r="Q110" s="866"/>
      <c r="R110" s="866"/>
      <c r="S110" s="866"/>
      <c r="T110" s="866"/>
      <c r="U110" s="866"/>
      <c r="V110" s="866"/>
      <c r="W110" s="866"/>
      <c r="Y110" s="866"/>
      <c r="Z110" s="868"/>
      <c r="AA110" s="868"/>
      <c r="AB110" s="866"/>
      <c r="AC110" s="866"/>
      <c r="AD110" s="868"/>
      <c r="AE110" s="868"/>
      <c r="AK110" s="153" t="s">
        <v>182</v>
      </c>
      <c r="AL110" s="904"/>
      <c r="AM110" s="121" t="e">
        <f>AM82+AM105</f>
        <v>#DIV/0!</v>
      </c>
      <c r="AN110" s="121" t="e">
        <f>AN82+AN105</f>
        <v>#DIV/0!</v>
      </c>
      <c r="AO110" s="121" t="e">
        <f>AM110+AN110</f>
        <v>#DIV/0!</v>
      </c>
    </row>
    <row r="111" spans="1:49" x14ac:dyDescent="0.25">
      <c r="A111" s="863" t="s">
        <v>441</v>
      </c>
      <c r="B111" s="864"/>
      <c r="C111" s="865"/>
      <c r="D111" s="865"/>
      <c r="E111" s="865"/>
      <c r="F111" s="865"/>
      <c r="G111" s="865"/>
      <c r="H111" s="865"/>
      <c r="I111" s="865"/>
      <c r="J111" s="865"/>
      <c r="K111" s="865"/>
      <c r="L111" s="186"/>
      <c r="M111" s="186"/>
      <c r="N111" s="866"/>
      <c r="O111" s="866"/>
      <c r="P111" s="866"/>
      <c r="Q111" s="866"/>
      <c r="R111" s="866"/>
      <c r="S111" s="866"/>
      <c r="T111" s="866"/>
      <c r="U111" s="866"/>
      <c r="V111" s="866"/>
      <c r="W111" s="866"/>
      <c r="Y111" s="866"/>
      <c r="Z111" s="868"/>
      <c r="AA111" s="868"/>
      <c r="AB111" s="866"/>
      <c r="AC111" s="866"/>
      <c r="AD111" s="868"/>
      <c r="AE111" s="868"/>
      <c r="AM111" s="129" t="e">
        <f>AM108*AM109</f>
        <v>#DIV/0!</v>
      </c>
      <c r="AN111" s="129" t="e">
        <f>AN108*AN109</f>
        <v>#DIV/0!</v>
      </c>
      <c r="AO111" s="129" t="e">
        <f>AO108*AO104</f>
        <v>#DIV/0!</v>
      </c>
    </row>
    <row r="112" spans="1:49" ht="25.5" customHeight="1" thickBot="1" x14ac:dyDescent="0.4">
      <c r="A112" s="832" t="s">
        <v>430</v>
      </c>
      <c r="B112" s="453"/>
      <c r="C112" s="328"/>
      <c r="D112" s="328"/>
      <c r="E112" s="328"/>
      <c r="F112" s="328"/>
      <c r="G112" s="328"/>
      <c r="H112" s="328"/>
      <c r="I112" s="328"/>
      <c r="J112" s="328"/>
      <c r="K112" s="443"/>
      <c r="L112" s="90"/>
      <c r="M112" s="90"/>
      <c r="N112" s="866"/>
      <c r="O112" s="866"/>
      <c r="P112" s="866"/>
      <c r="Q112" s="866"/>
      <c r="R112" s="866"/>
      <c r="S112" s="866"/>
      <c r="T112" s="866"/>
      <c r="U112" s="866"/>
      <c r="V112" s="866"/>
      <c r="W112" s="866"/>
      <c r="Y112" s="866"/>
      <c r="Z112" s="868"/>
      <c r="AA112" s="868"/>
      <c r="AB112" s="866"/>
      <c r="AC112" s="866"/>
      <c r="AD112" s="868"/>
      <c r="AE112" s="868"/>
      <c r="AK112" s="126" t="s">
        <v>183</v>
      </c>
      <c r="AM112" s="125" t="e">
        <f>AM108/AO108</f>
        <v>#DIV/0!</v>
      </c>
      <c r="AN112" s="125" t="e">
        <f>AN108/AO108</f>
        <v>#DIV/0!</v>
      </c>
      <c r="AO112" s="154" t="e">
        <f>AM112+AN112</f>
        <v>#DIV/0!</v>
      </c>
    </row>
    <row r="113" spans="1:31" s="15" customFormat="1" ht="15" customHeight="1" thickTop="1" thickBot="1" x14ac:dyDescent="0.3">
      <c r="A113" s="319" t="s">
        <v>423</v>
      </c>
      <c r="B113" s="319"/>
      <c r="C113" s="320"/>
      <c r="D113" s="320"/>
      <c r="E113" s="321" t="s">
        <v>60</v>
      </c>
      <c r="F113" s="438"/>
      <c r="G113" s="320"/>
      <c r="H113" s="320"/>
      <c r="I113" s="320"/>
      <c r="J113" s="320"/>
      <c r="K113" s="454" t="s">
        <v>272</v>
      </c>
      <c r="L113" s="190"/>
      <c r="M113" s="190"/>
      <c r="N113" s="328"/>
      <c r="O113" s="328"/>
      <c r="P113" s="639"/>
      <c r="Q113" s="328"/>
      <c r="R113" s="328"/>
      <c r="S113" s="328"/>
      <c r="T113" s="328"/>
      <c r="U113" s="328"/>
      <c r="V113" s="328"/>
      <c r="W113" s="328"/>
      <c r="Y113" s="328"/>
      <c r="Z113" s="512"/>
      <c r="AA113" s="512"/>
      <c r="AB113" s="328"/>
      <c r="AC113" s="328"/>
      <c r="AD113" s="512"/>
      <c r="AE113" s="512"/>
    </row>
    <row r="114" spans="1:31" ht="16.5" customHeight="1" thickTop="1" x14ac:dyDescent="0.25">
      <c r="A114" s="438" t="s">
        <v>129</v>
      </c>
      <c r="B114" s="438"/>
      <c r="C114" s="438"/>
      <c r="D114" s="438"/>
      <c r="E114" s="438"/>
      <c r="F114" s="438"/>
      <c r="G114" s="438"/>
      <c r="H114" s="439"/>
      <c r="I114" s="438"/>
      <c r="J114" s="438"/>
      <c r="K114" s="320"/>
      <c r="L114" s="23"/>
      <c r="M114" s="23"/>
      <c r="N114" s="866"/>
      <c r="O114" s="866"/>
      <c r="P114" s="866"/>
      <c r="Q114" s="866"/>
      <c r="R114" s="866"/>
      <c r="S114" s="866"/>
      <c r="T114" s="866"/>
      <c r="U114" s="866"/>
      <c r="V114" s="866"/>
      <c r="W114" s="866"/>
      <c r="Y114" s="866"/>
      <c r="Z114" s="868"/>
      <c r="AA114" s="868"/>
      <c r="AB114" s="866"/>
      <c r="AC114" s="866"/>
      <c r="AD114" s="868"/>
      <c r="AE114" s="868"/>
    </row>
    <row r="115" spans="1:31" ht="16.5" customHeight="1" thickBot="1" x14ac:dyDescent="0.3">
      <c r="A115" s="438" t="s">
        <v>196</v>
      </c>
      <c r="B115" s="438"/>
      <c r="C115" s="438"/>
      <c r="D115" s="438"/>
      <c r="E115" s="438"/>
      <c r="F115" s="438"/>
      <c r="G115" s="438"/>
      <c r="H115" s="439"/>
      <c r="I115" s="438"/>
      <c r="J115" s="438"/>
      <c r="K115" s="320"/>
      <c r="L115" s="23"/>
      <c r="M115" s="23"/>
      <c r="N115" s="866"/>
      <c r="O115" s="326"/>
      <c r="P115" s="326"/>
      <c r="Q115" s="326"/>
      <c r="R115" s="326"/>
      <c r="S115" s="326"/>
      <c r="T115" s="326"/>
      <c r="U115" s="326"/>
      <c r="V115" s="326"/>
      <c r="W115" s="326"/>
      <c r="X115" s="13"/>
      <c r="Y115" s="326"/>
      <c r="Z115" s="510"/>
      <c r="AA115" s="510"/>
      <c r="AB115" s="326"/>
      <c r="AC115" s="866"/>
      <c r="AD115" s="868"/>
      <c r="AE115" s="868"/>
    </row>
    <row r="116" spans="1:31" ht="16.5" hidden="1" customHeight="1" x14ac:dyDescent="0.25">
      <c r="A116" s="162"/>
      <c r="B116" s="162"/>
      <c r="C116" s="162"/>
      <c r="D116" s="162"/>
      <c r="E116" s="162"/>
      <c r="F116" s="81" t="s">
        <v>194</v>
      </c>
      <c r="G116" s="162"/>
      <c r="H116" s="163"/>
      <c r="I116" s="162"/>
      <c r="J116" s="880"/>
      <c r="K116" s="71"/>
      <c r="L116" s="23"/>
      <c r="M116" s="23"/>
      <c r="N116" s="866"/>
      <c r="O116" s="326"/>
      <c r="P116" s="326"/>
      <c r="Q116" s="326"/>
      <c r="R116" s="326"/>
      <c r="S116" s="326"/>
      <c r="T116" s="326"/>
      <c r="U116" s="326"/>
      <c r="V116" s="326"/>
      <c r="W116" s="326"/>
      <c r="X116" s="13"/>
      <c r="Y116" s="326"/>
      <c r="Z116" s="510"/>
      <c r="AA116" s="510"/>
      <c r="AB116" s="326"/>
      <c r="AC116" s="866"/>
      <c r="AD116" s="868"/>
      <c r="AE116" s="868"/>
    </row>
    <row r="117" spans="1:31" ht="16.5" hidden="1" customHeight="1" x14ac:dyDescent="0.25">
      <c r="A117" s="162"/>
      <c r="B117" s="162"/>
      <c r="C117" s="162"/>
      <c r="D117" s="162"/>
      <c r="E117" s="162"/>
      <c r="F117" s="164"/>
      <c r="G117" s="162"/>
      <c r="H117" s="163"/>
      <c r="I117" s="162"/>
      <c r="J117" s="880"/>
      <c r="K117" s="71"/>
      <c r="L117" s="23"/>
      <c r="M117" s="23"/>
      <c r="N117" s="866"/>
      <c r="O117" s="326"/>
      <c r="P117" s="326"/>
      <c r="Q117" s="326"/>
      <c r="R117" s="326"/>
      <c r="S117" s="326"/>
      <c r="T117" s="326"/>
      <c r="U117" s="326"/>
      <c r="V117" s="326"/>
      <c r="W117" s="326"/>
      <c r="X117" s="13"/>
      <c r="Y117" s="326"/>
      <c r="Z117" s="510"/>
      <c r="AA117" s="510"/>
      <c r="AB117" s="326"/>
      <c r="AC117" s="866"/>
      <c r="AD117" s="868"/>
      <c r="AE117" s="868"/>
    </row>
    <row r="118" spans="1:31" ht="16.5" hidden="1" customHeight="1" x14ac:dyDescent="0.25">
      <c r="A118" s="162"/>
      <c r="B118" s="162"/>
      <c r="C118" s="162"/>
      <c r="D118" s="162"/>
      <c r="E118" s="162"/>
      <c r="F118" s="164">
        <v>75000</v>
      </c>
      <c r="G118" s="162"/>
      <c r="H118" s="163"/>
      <c r="I118" s="162"/>
      <c r="J118" s="880"/>
      <c r="K118" s="71"/>
      <c r="L118" s="23"/>
      <c r="M118" s="23"/>
      <c r="N118" s="866"/>
      <c r="O118" s="326"/>
      <c r="P118" s="326"/>
      <c r="Q118" s="326"/>
      <c r="R118" s="326"/>
      <c r="S118" s="326"/>
      <c r="T118" s="326"/>
      <c r="U118" s="326"/>
      <c r="V118" s="326"/>
      <c r="W118" s="326"/>
      <c r="X118" s="13"/>
      <c r="Y118" s="326"/>
      <c r="Z118" s="510"/>
      <c r="AA118" s="510"/>
      <c r="AB118" s="326"/>
      <c r="AC118" s="866"/>
      <c r="AD118" s="868"/>
      <c r="AE118" s="868"/>
    </row>
    <row r="119" spans="1:31" ht="16.5" hidden="1" customHeight="1" x14ac:dyDescent="0.25">
      <c r="A119" s="162"/>
      <c r="B119" s="162"/>
      <c r="C119" s="162"/>
      <c r="D119" s="162"/>
      <c r="E119" s="162"/>
      <c r="F119" s="164">
        <v>90000</v>
      </c>
      <c r="G119" s="162"/>
      <c r="H119" s="163"/>
      <c r="I119" s="162"/>
      <c r="J119" s="880"/>
      <c r="K119" s="71"/>
      <c r="L119" s="23"/>
      <c r="M119" s="23"/>
      <c r="N119" s="866"/>
      <c r="O119" s="326"/>
      <c r="P119" s="326"/>
      <c r="Q119" s="326"/>
      <c r="R119" s="326"/>
      <c r="S119" s="326"/>
      <c r="T119" s="326"/>
      <c r="U119" s="326"/>
      <c r="V119" s="326"/>
      <c r="W119" s="326"/>
      <c r="X119" s="13"/>
      <c r="Y119" s="326"/>
      <c r="Z119" s="510"/>
      <c r="AA119" s="510"/>
      <c r="AB119" s="326"/>
      <c r="AC119" s="866"/>
      <c r="AD119" s="868"/>
      <c r="AE119" s="868"/>
    </row>
    <row r="120" spans="1:31" ht="16.5" hidden="1" customHeight="1" x14ac:dyDescent="0.25">
      <c r="A120" s="162"/>
      <c r="B120" s="162"/>
      <c r="C120" s="162"/>
      <c r="D120" s="162"/>
      <c r="E120" s="162"/>
      <c r="F120" s="164">
        <v>95000</v>
      </c>
      <c r="G120" s="162"/>
      <c r="H120" s="163"/>
      <c r="I120" s="162"/>
      <c r="J120" s="880"/>
      <c r="K120" s="71"/>
      <c r="L120" s="23"/>
      <c r="M120" s="23"/>
      <c r="N120" s="866"/>
      <c r="O120" s="326"/>
      <c r="P120" s="326"/>
      <c r="Q120" s="326"/>
      <c r="R120" s="326"/>
      <c r="S120" s="326"/>
      <c r="T120" s="326"/>
      <c r="U120" s="326"/>
      <c r="V120" s="326"/>
      <c r="W120" s="326"/>
      <c r="X120" s="13"/>
      <c r="Y120" s="326"/>
      <c r="Z120" s="510"/>
      <c r="AA120" s="510"/>
      <c r="AB120" s="326"/>
      <c r="AC120" s="866"/>
      <c r="AD120" s="868"/>
      <c r="AE120" s="868"/>
    </row>
    <row r="121" spans="1:31" ht="16.5" hidden="1" customHeight="1" x14ac:dyDescent="0.25">
      <c r="A121" s="162"/>
      <c r="B121" s="162"/>
      <c r="C121" s="162"/>
      <c r="D121" s="162"/>
      <c r="E121" s="162"/>
      <c r="F121" s="164">
        <v>100000</v>
      </c>
      <c r="G121" s="162"/>
      <c r="H121" s="163"/>
      <c r="I121" s="162"/>
      <c r="J121" s="880"/>
      <c r="K121" s="71"/>
      <c r="L121" s="23"/>
      <c r="M121" s="23"/>
      <c r="N121" s="866"/>
      <c r="O121" s="326"/>
      <c r="P121" s="326"/>
      <c r="Q121" s="326"/>
      <c r="R121" s="326"/>
      <c r="S121" s="326"/>
      <c r="T121" s="326"/>
      <c r="U121" s="326"/>
      <c r="V121" s="326"/>
      <c r="W121" s="326"/>
      <c r="X121" s="13"/>
      <c r="Y121" s="326"/>
      <c r="Z121" s="510"/>
      <c r="AA121" s="510"/>
      <c r="AB121" s="326"/>
      <c r="AC121" s="866"/>
      <c r="AD121" s="868"/>
      <c r="AE121" s="868"/>
    </row>
    <row r="122" spans="1:31" ht="16.5" hidden="1" customHeight="1" thickBot="1" x14ac:dyDescent="0.3">
      <c r="A122" s="162"/>
      <c r="B122" s="162"/>
      <c r="C122" s="162"/>
      <c r="D122" s="162"/>
      <c r="E122" s="162"/>
      <c r="F122" s="164">
        <v>181500</v>
      </c>
      <c r="G122" s="162"/>
      <c r="H122" s="163"/>
      <c r="I122" s="162"/>
      <c r="J122" s="880"/>
      <c r="K122" s="71"/>
      <c r="L122" s="23"/>
      <c r="M122" s="23"/>
      <c r="N122" s="866"/>
      <c r="O122" s="326"/>
      <c r="P122" s="326"/>
      <c r="Q122" s="326"/>
      <c r="R122" s="326"/>
      <c r="S122" s="326"/>
      <c r="T122" s="326"/>
      <c r="U122" s="326"/>
      <c r="V122" s="326"/>
      <c r="W122" s="326"/>
      <c r="X122" s="13"/>
      <c r="Y122" s="326"/>
      <c r="Z122" s="510"/>
      <c r="AA122" s="510"/>
      <c r="AB122" s="326"/>
      <c r="AC122" s="866"/>
      <c r="AD122" s="868"/>
      <c r="AE122" s="868"/>
    </row>
    <row r="123" spans="1:31" s="15" customFormat="1" ht="15" customHeight="1" thickTop="1" thickBot="1" x14ac:dyDescent="0.3">
      <c r="A123" s="438" t="s">
        <v>197</v>
      </c>
      <c r="B123" s="438"/>
      <c r="C123" s="438"/>
      <c r="D123" s="438"/>
      <c r="E123" s="438"/>
      <c r="F123" s="455"/>
      <c r="G123" s="438"/>
      <c r="H123" s="439"/>
      <c r="I123" s="438"/>
      <c r="J123" s="438"/>
      <c r="K123" s="320"/>
      <c r="L123" s="23"/>
      <c r="M123" s="23"/>
      <c r="N123" s="328"/>
      <c r="O123" s="326"/>
      <c r="P123" s="640"/>
      <c r="Q123" s="326"/>
      <c r="R123" s="326"/>
      <c r="S123" s="326"/>
      <c r="T123" s="326"/>
      <c r="U123" s="326"/>
      <c r="V123" s="326"/>
      <c r="W123" s="326"/>
      <c r="X123" s="13"/>
      <c r="Y123" s="326"/>
      <c r="Z123" s="510"/>
      <c r="AA123" s="510"/>
      <c r="AB123" s="326"/>
      <c r="AC123" s="328"/>
      <c r="AD123" s="512"/>
      <c r="AE123" s="512"/>
    </row>
    <row r="124" spans="1:31" s="15" customFormat="1" ht="15" customHeight="1" thickTop="1" thickBot="1" x14ac:dyDescent="0.3">
      <c r="A124" s="443"/>
      <c r="B124" s="453"/>
      <c r="C124" s="328"/>
      <c r="D124" s="328"/>
      <c r="E124" s="328"/>
      <c r="F124" s="328"/>
      <c r="G124" s="328"/>
      <c r="H124" s="328"/>
      <c r="I124" s="328"/>
      <c r="J124" s="328"/>
      <c r="K124" s="328"/>
      <c r="L124" s="23"/>
      <c r="M124" s="23"/>
      <c r="N124" s="328"/>
      <c r="O124" s="326"/>
      <c r="P124" s="640"/>
      <c r="Q124" s="326"/>
      <c r="R124" s="326"/>
      <c r="S124" s="326"/>
      <c r="T124" s="326"/>
      <c r="U124" s="326"/>
      <c r="V124" s="326"/>
      <c r="W124" s="326"/>
      <c r="X124" s="13"/>
      <c r="Y124" s="326"/>
      <c r="Z124" s="510"/>
      <c r="AA124" s="510"/>
      <c r="AB124" s="326"/>
      <c r="AC124" s="328"/>
      <c r="AD124" s="512"/>
      <c r="AE124" s="512"/>
    </row>
    <row r="125" spans="1:31" ht="15" thickTop="1" thickBot="1" x14ac:dyDescent="0.3">
      <c r="A125" s="319" t="s">
        <v>424</v>
      </c>
      <c r="B125" s="319"/>
      <c r="C125" s="320"/>
      <c r="D125" s="320"/>
      <c r="E125" s="321" t="s">
        <v>60</v>
      </c>
      <c r="F125" s="320"/>
      <c r="G125" s="320"/>
      <c r="H125" s="320"/>
      <c r="I125" s="320"/>
      <c r="J125" s="320"/>
      <c r="K125" s="456" t="s">
        <v>104</v>
      </c>
      <c r="L125" s="193"/>
      <c r="M125" s="193"/>
      <c r="N125" s="866"/>
      <c r="O125" s="326"/>
      <c r="P125" s="326"/>
      <c r="Q125" s="326"/>
      <c r="R125" s="326"/>
      <c r="S125" s="326"/>
      <c r="T125" s="326"/>
      <c r="U125" s="326"/>
      <c r="V125" s="326"/>
      <c r="W125" s="326"/>
      <c r="X125" s="13"/>
      <c r="Y125" s="326"/>
      <c r="Z125" s="510"/>
      <c r="AA125" s="510"/>
      <c r="AB125" s="326"/>
      <c r="AC125" s="866"/>
      <c r="AD125" s="868"/>
      <c r="AE125" s="868"/>
    </row>
    <row r="126" spans="1:31" ht="20.25" customHeight="1" thickTop="1" x14ac:dyDescent="0.25">
      <c r="A126" s="319" t="s">
        <v>126</v>
      </c>
      <c r="B126" s="319"/>
      <c r="C126" s="320"/>
      <c r="D126" s="320"/>
      <c r="E126" s="320"/>
      <c r="F126" s="320"/>
      <c r="G126" s="320"/>
      <c r="H126" s="320"/>
      <c r="I126" s="320"/>
      <c r="J126" s="320"/>
      <c r="K126" s="438"/>
      <c r="L126" s="90"/>
      <c r="M126" s="90"/>
      <c r="N126" s="866"/>
      <c r="O126" s="326"/>
      <c r="P126" s="326"/>
      <c r="Q126" s="326"/>
      <c r="R126" s="326"/>
      <c r="S126" s="326"/>
      <c r="T126" s="326"/>
      <c r="U126" s="326"/>
      <c r="V126" s="326"/>
      <c r="W126" s="326"/>
      <c r="X126" s="13"/>
      <c r="Y126" s="326"/>
      <c r="Z126" s="510"/>
      <c r="AA126" s="510"/>
      <c r="AB126" s="326"/>
      <c r="AC126" s="866"/>
      <c r="AD126" s="868"/>
      <c r="AE126" s="868"/>
    </row>
    <row r="127" spans="1:31" x14ac:dyDescent="0.25">
      <c r="A127" s="319" t="s">
        <v>130</v>
      </c>
      <c r="B127" s="320"/>
      <c r="C127" s="320"/>
      <c r="D127" s="320"/>
      <c r="E127" s="320"/>
      <c r="F127" s="320"/>
      <c r="G127" s="320"/>
      <c r="H127" s="320"/>
      <c r="I127" s="320"/>
      <c r="J127" s="320"/>
      <c r="K127" s="320"/>
      <c r="L127" s="23"/>
      <c r="M127" s="23"/>
      <c r="N127" s="866"/>
      <c r="O127" s="866"/>
      <c r="P127" s="866"/>
      <c r="Q127" s="866"/>
      <c r="R127" s="866"/>
      <c r="S127" s="866"/>
      <c r="T127" s="866"/>
      <c r="U127" s="866"/>
      <c r="V127" s="866"/>
      <c r="W127" s="866"/>
      <c r="Y127" s="866"/>
      <c r="Z127" s="868"/>
      <c r="AA127" s="868"/>
      <c r="AB127" s="866"/>
      <c r="AC127" s="866"/>
      <c r="AD127" s="868"/>
      <c r="AE127" s="868"/>
    </row>
    <row r="128" spans="1:31" ht="14.4" thickBot="1" x14ac:dyDescent="0.3">
      <c r="A128" s="319" t="s">
        <v>166</v>
      </c>
      <c r="B128" s="320"/>
      <c r="C128" s="320"/>
      <c r="D128" s="320"/>
      <c r="E128" s="320"/>
      <c r="F128" s="320"/>
      <c r="G128" s="320"/>
      <c r="H128" s="320"/>
      <c r="I128" s="320"/>
      <c r="J128" s="320"/>
      <c r="K128" s="320"/>
      <c r="L128" s="23"/>
      <c r="M128" s="23"/>
      <c r="N128" s="866"/>
      <c r="O128" s="866"/>
      <c r="P128" s="866"/>
      <c r="Q128" s="866"/>
      <c r="R128" s="866"/>
      <c r="S128" s="866"/>
      <c r="T128" s="866"/>
      <c r="U128" s="866"/>
      <c r="V128" s="866"/>
      <c r="W128" s="866"/>
      <c r="Y128" s="866"/>
      <c r="Z128" s="868"/>
      <c r="AA128" s="868"/>
      <c r="AB128" s="866"/>
      <c r="AC128" s="866"/>
      <c r="AD128" s="868"/>
      <c r="AE128" s="868"/>
    </row>
    <row r="129" spans="1:31" ht="15" thickTop="1" thickBot="1" x14ac:dyDescent="0.3">
      <c r="A129" s="319" t="s">
        <v>448</v>
      </c>
      <c r="B129" s="320"/>
      <c r="C129" s="320"/>
      <c r="D129" s="320"/>
      <c r="E129" s="320"/>
      <c r="F129" s="320"/>
      <c r="G129" s="320"/>
      <c r="H129" s="320"/>
      <c r="I129" s="320"/>
      <c r="J129" s="320"/>
      <c r="K129" s="457"/>
      <c r="L129" s="194"/>
      <c r="M129" s="194"/>
      <c r="N129" s="866"/>
      <c r="O129" s="866"/>
      <c r="P129" s="866"/>
      <c r="Q129" s="866"/>
      <c r="R129" s="866"/>
      <c r="S129" s="866"/>
      <c r="T129" s="866"/>
      <c r="U129" s="866"/>
      <c r="V129" s="866"/>
      <c r="W129" s="866"/>
      <c r="Y129" s="866"/>
      <c r="Z129" s="868"/>
      <c r="AA129" s="868"/>
      <c r="AB129" s="866"/>
      <c r="AC129" s="866"/>
      <c r="AD129" s="868"/>
      <c r="AE129" s="868"/>
    </row>
    <row r="130" spans="1:31" ht="14.4" thickTop="1" x14ac:dyDescent="0.25">
      <c r="A130" s="319" t="s">
        <v>449</v>
      </c>
      <c r="B130" s="320"/>
      <c r="C130" s="320"/>
      <c r="D130" s="320"/>
      <c r="E130" s="320"/>
      <c r="F130" s="320"/>
      <c r="G130" s="320"/>
      <c r="H130" s="320"/>
      <c r="I130" s="320"/>
      <c r="J130" s="320"/>
      <c r="K130" s="320"/>
      <c r="L130" s="194"/>
      <c r="M130" s="194"/>
      <c r="N130" s="866"/>
      <c r="O130" s="866"/>
      <c r="P130" s="866"/>
      <c r="Q130" s="866"/>
      <c r="R130" s="866"/>
      <c r="S130" s="866"/>
      <c r="T130" s="866"/>
      <c r="U130" s="866"/>
      <c r="V130" s="866"/>
      <c r="W130" s="866"/>
      <c r="Y130" s="866"/>
      <c r="Z130" s="868"/>
      <c r="AA130" s="868"/>
      <c r="AB130" s="866"/>
      <c r="AC130" s="866"/>
      <c r="AD130" s="868"/>
      <c r="AE130" s="868"/>
    </row>
    <row r="131" spans="1:31" x14ac:dyDescent="0.25">
      <c r="A131" s="453"/>
      <c r="B131" s="453"/>
      <c r="C131" s="328"/>
      <c r="D131" s="328"/>
      <c r="E131" s="328"/>
      <c r="F131" s="328"/>
      <c r="G131" s="328"/>
      <c r="H131" s="328"/>
      <c r="I131" s="328"/>
      <c r="J131" s="328"/>
      <c r="K131" s="443"/>
      <c r="L131" s="90"/>
      <c r="M131" s="90"/>
      <c r="N131" s="866"/>
      <c r="O131" s="866"/>
      <c r="P131" s="866"/>
      <c r="Q131" s="866"/>
      <c r="R131" s="866"/>
      <c r="S131" s="866"/>
      <c r="T131" s="866"/>
      <c r="U131" s="866"/>
      <c r="V131" s="866"/>
      <c r="W131" s="866"/>
      <c r="Y131" s="866"/>
      <c r="Z131" s="868"/>
      <c r="AA131" s="868"/>
      <c r="AB131" s="866"/>
      <c r="AC131" s="866"/>
      <c r="AD131" s="868"/>
      <c r="AE131" s="868"/>
    </row>
    <row r="132" spans="1:31" ht="26.1" customHeight="1" thickBot="1" x14ac:dyDescent="0.4">
      <c r="A132" s="831" t="s">
        <v>429</v>
      </c>
      <c r="B132" s="627"/>
      <c r="C132" s="627"/>
      <c r="D132" s="627"/>
      <c r="E132" s="627"/>
      <c r="F132" s="627"/>
      <c r="G132" s="627"/>
      <c r="H132" s="627"/>
      <c r="I132" s="629"/>
      <c r="J132" s="629"/>
      <c r="K132" s="629"/>
      <c r="L132" s="189"/>
      <c r="M132" s="189"/>
      <c r="N132" s="866"/>
      <c r="O132" s="866"/>
      <c r="P132" s="866"/>
      <c r="Q132" s="866"/>
      <c r="R132" s="866"/>
      <c r="S132" s="866"/>
      <c r="T132" s="866"/>
      <c r="U132" s="866"/>
      <c r="V132" s="866"/>
      <c r="W132" s="866"/>
      <c r="Y132" s="866"/>
      <c r="Z132" s="868"/>
      <c r="AA132" s="868"/>
      <c r="AB132" s="866"/>
      <c r="AC132" s="866"/>
      <c r="AD132" s="868"/>
      <c r="AE132" s="868"/>
    </row>
    <row r="133" spans="1:31" ht="15.6" thickTop="1" thickBot="1" x14ac:dyDescent="0.35">
      <c r="A133" s="319" t="s">
        <v>425</v>
      </c>
      <c r="B133" s="319"/>
      <c r="C133" s="321" t="s">
        <v>60</v>
      </c>
      <c r="D133" s="320"/>
      <c r="E133" s="320"/>
      <c r="F133" s="320"/>
      <c r="G133" s="320"/>
      <c r="H133" s="458"/>
      <c r="I133" s="320"/>
      <c r="J133" s="320"/>
      <c r="K133" s="311" t="s">
        <v>266</v>
      </c>
      <c r="L133" s="90"/>
      <c r="M133" s="90"/>
      <c r="N133" s="866"/>
      <c r="O133" s="866"/>
      <c r="P133" s="866"/>
      <c r="Q133" s="866"/>
      <c r="R133" s="866"/>
      <c r="S133" s="866"/>
      <c r="T133" s="866"/>
      <c r="U133" s="866"/>
      <c r="V133" s="866"/>
      <c r="W133" s="866"/>
      <c r="Y133" s="866"/>
      <c r="Z133" s="868"/>
      <c r="AA133" s="868"/>
      <c r="AB133" s="866"/>
      <c r="AC133" s="866"/>
      <c r="AD133" s="868"/>
      <c r="AE133" s="868"/>
    </row>
    <row r="134" spans="1:31" ht="14.4" thickTop="1" x14ac:dyDescent="0.25">
      <c r="A134" s="319" t="s">
        <v>127</v>
      </c>
      <c r="B134" s="319"/>
      <c r="C134" s="320"/>
      <c r="D134" s="320"/>
      <c r="E134" s="320"/>
      <c r="F134" s="320"/>
      <c r="G134" s="320"/>
      <c r="H134" s="320"/>
      <c r="I134" s="438"/>
      <c r="J134" s="320"/>
      <c r="K134" s="438"/>
      <c r="L134" s="90"/>
      <c r="M134" s="90"/>
      <c r="N134" s="866"/>
      <c r="O134" s="866"/>
      <c r="P134" s="866"/>
      <c r="Q134" s="866"/>
      <c r="R134" s="866"/>
      <c r="S134" s="866"/>
      <c r="T134" s="866"/>
      <c r="U134" s="866"/>
      <c r="V134" s="866"/>
      <c r="W134" s="866"/>
      <c r="Y134" s="866"/>
      <c r="Z134" s="866"/>
      <c r="AA134" s="866"/>
      <c r="AB134" s="866"/>
      <c r="AC134" s="866"/>
      <c r="AD134" s="866"/>
      <c r="AE134" s="866"/>
    </row>
    <row r="135" spans="1:31" x14ac:dyDescent="0.25">
      <c r="A135" s="319" t="s">
        <v>337</v>
      </c>
      <c r="B135" s="319"/>
      <c r="C135" s="320"/>
      <c r="D135" s="320"/>
      <c r="E135" s="320"/>
      <c r="F135" s="320"/>
      <c r="G135" s="320"/>
      <c r="H135" s="320"/>
      <c r="I135" s="438"/>
      <c r="J135" s="320"/>
      <c r="K135" s="438"/>
      <c r="L135" s="90"/>
      <c r="M135" s="90"/>
      <c r="N135" s="866"/>
      <c r="O135" s="866"/>
      <c r="P135" s="866"/>
      <c r="Q135" s="866"/>
      <c r="R135" s="866"/>
      <c r="S135" s="866"/>
      <c r="T135" s="866"/>
      <c r="U135" s="866"/>
      <c r="V135" s="866"/>
      <c r="W135" s="866"/>
      <c r="Y135" s="866"/>
      <c r="Z135" s="866"/>
      <c r="AA135" s="866"/>
      <c r="AB135" s="866"/>
      <c r="AC135" s="866"/>
      <c r="AD135" s="866"/>
      <c r="AE135" s="866"/>
    </row>
    <row r="136" spans="1:31" x14ac:dyDescent="0.25">
      <c r="A136" s="319" t="s">
        <v>338</v>
      </c>
      <c r="B136" s="319"/>
      <c r="C136" s="320"/>
      <c r="D136" s="320"/>
      <c r="E136" s="320"/>
      <c r="F136" s="320"/>
      <c r="G136" s="320"/>
      <c r="H136" s="320"/>
      <c r="I136" s="438"/>
      <c r="J136" s="320"/>
      <c r="K136" s="438"/>
      <c r="L136" s="90"/>
      <c r="M136" s="90"/>
      <c r="N136" s="866"/>
      <c r="O136" s="866"/>
      <c r="P136" s="866"/>
      <c r="Q136" s="866"/>
      <c r="R136" s="866"/>
      <c r="S136" s="866"/>
      <c r="T136" s="866"/>
      <c r="U136" s="866"/>
      <c r="V136" s="866"/>
      <c r="W136" s="866"/>
      <c r="Y136" s="866"/>
      <c r="Z136" s="866"/>
      <c r="AA136" s="866"/>
      <c r="AB136" s="866"/>
      <c r="AC136" s="866"/>
      <c r="AD136" s="866"/>
      <c r="AE136" s="866"/>
    </row>
    <row r="137" spans="1:31" ht="14.4" thickBot="1" x14ac:dyDescent="0.3">
      <c r="A137" s="453"/>
      <c r="B137" s="453"/>
      <c r="C137" s="328"/>
      <c r="D137" s="328"/>
      <c r="E137" s="328"/>
      <c r="F137" s="328"/>
      <c r="G137" s="328"/>
      <c r="H137" s="328"/>
      <c r="I137" s="328"/>
      <c r="J137" s="328"/>
      <c r="K137" s="443"/>
      <c r="L137" s="90"/>
      <c r="M137" s="90"/>
      <c r="N137" s="866"/>
      <c r="O137" s="866"/>
      <c r="P137" s="866"/>
      <c r="Q137" s="866"/>
      <c r="R137" s="866"/>
      <c r="S137" s="866"/>
      <c r="T137" s="866"/>
      <c r="U137" s="866"/>
      <c r="V137" s="866"/>
      <c r="W137" s="866"/>
      <c r="Y137" s="866"/>
      <c r="Z137" s="868"/>
      <c r="AA137" s="868"/>
      <c r="AB137" s="866"/>
      <c r="AC137" s="866"/>
      <c r="AD137" s="868"/>
      <c r="AE137" s="868"/>
    </row>
    <row r="138" spans="1:31" ht="15.6" thickTop="1" thickBot="1" x14ac:dyDescent="0.35">
      <c r="A138" s="319" t="s">
        <v>426</v>
      </c>
      <c r="B138" s="319"/>
      <c r="C138" s="320"/>
      <c r="D138" s="320"/>
      <c r="E138" s="321">
        <v>0</v>
      </c>
      <c r="F138" s="458"/>
      <c r="G138" s="458"/>
      <c r="H138" s="458"/>
      <c r="I138" s="320"/>
      <c r="J138" s="320"/>
      <c r="K138" s="311" t="s">
        <v>266</v>
      </c>
      <c r="L138" s="90"/>
      <c r="M138" s="90"/>
      <c r="N138" s="866"/>
      <c r="O138" s="866"/>
      <c r="P138" s="866"/>
      <c r="Q138" s="866"/>
      <c r="R138" s="866"/>
      <c r="S138" s="866"/>
      <c r="T138" s="866"/>
      <c r="U138" s="866"/>
      <c r="V138" s="866"/>
      <c r="W138" s="866"/>
      <c r="Y138" s="866"/>
      <c r="Z138" s="868"/>
      <c r="AA138" s="868"/>
      <c r="AB138" s="866"/>
      <c r="AC138" s="866"/>
      <c r="AD138" s="868"/>
      <c r="AE138" s="868"/>
    </row>
    <row r="139" spans="1:31" ht="14.4" hidden="1" thickTop="1" x14ac:dyDescent="0.25">
      <c r="A139" s="70"/>
      <c r="B139" s="70"/>
      <c r="C139" s="70"/>
      <c r="D139" s="70"/>
      <c r="E139" s="71"/>
      <c r="F139" s="71"/>
      <c r="G139" s="71"/>
      <c r="H139" s="71"/>
      <c r="I139" s="71"/>
      <c r="J139" s="72" t="s">
        <v>70</v>
      </c>
      <c r="K139" s="73" t="s">
        <v>62</v>
      </c>
      <c r="L139" s="195"/>
      <c r="M139" s="195"/>
      <c r="N139" s="866"/>
      <c r="O139" s="866"/>
      <c r="P139" s="866"/>
      <c r="Q139" s="866"/>
      <c r="R139" s="866"/>
      <c r="S139" s="866"/>
      <c r="T139" s="866"/>
      <c r="U139" s="866"/>
      <c r="V139" s="866"/>
      <c r="W139" s="866"/>
      <c r="Y139" s="866"/>
      <c r="Z139" s="868"/>
      <c r="AA139" s="868"/>
      <c r="AB139" s="866"/>
      <c r="AC139" s="866"/>
      <c r="AD139" s="868"/>
      <c r="AE139" s="868"/>
    </row>
    <row r="140" spans="1:31" ht="14.4" hidden="1" thickTop="1" x14ac:dyDescent="0.25">
      <c r="A140" s="70"/>
      <c r="B140" s="70"/>
      <c r="C140" s="70"/>
      <c r="D140" s="70"/>
      <c r="E140" s="71"/>
      <c r="F140" s="71"/>
      <c r="G140" s="71"/>
      <c r="H140" s="71"/>
      <c r="I140" s="71"/>
      <c r="J140" s="881">
        <v>0</v>
      </c>
      <c r="K140" s="75">
        <f>IF($E$138=0, 0,0)</f>
        <v>0</v>
      </c>
      <c r="L140" s="196"/>
      <c r="M140" s="196"/>
      <c r="N140" s="866"/>
      <c r="O140" s="866"/>
      <c r="P140" s="866"/>
      <c r="Q140" s="866"/>
      <c r="R140" s="866"/>
      <c r="S140" s="866"/>
      <c r="T140" s="866"/>
      <c r="U140" s="866"/>
      <c r="V140" s="866"/>
      <c r="W140" s="866"/>
      <c r="Y140" s="866"/>
      <c r="Z140" s="868"/>
      <c r="AA140" s="868"/>
      <c r="AB140" s="866"/>
      <c r="AC140" s="866"/>
      <c r="AD140" s="868"/>
      <c r="AE140" s="868"/>
    </row>
    <row r="141" spans="1:31" ht="14.4" hidden="1" thickTop="1" x14ac:dyDescent="0.25">
      <c r="A141" s="70"/>
      <c r="B141" s="70"/>
      <c r="C141" s="70"/>
      <c r="D141" s="70"/>
      <c r="E141" s="71"/>
      <c r="F141" s="71"/>
      <c r="G141" s="71"/>
      <c r="H141" s="71"/>
      <c r="I141" s="71"/>
      <c r="J141" s="881">
        <v>1</v>
      </c>
      <c r="K141" s="75">
        <f>IF($E$138=1, 25000,0)</f>
        <v>0</v>
      </c>
      <c r="L141" s="196"/>
      <c r="M141" s="196"/>
      <c r="N141" s="866"/>
      <c r="O141" s="866"/>
      <c r="P141" s="866"/>
      <c r="Q141" s="866"/>
      <c r="R141" s="866"/>
      <c r="S141" s="866"/>
      <c r="T141" s="866"/>
      <c r="U141" s="866"/>
      <c r="V141" s="866"/>
      <c r="W141" s="866"/>
      <c r="Y141" s="866"/>
      <c r="Z141" s="868"/>
      <c r="AA141" s="868"/>
      <c r="AB141" s="866"/>
      <c r="AC141" s="866"/>
      <c r="AD141" s="868"/>
      <c r="AE141" s="868"/>
    </row>
    <row r="142" spans="1:31" ht="14.4" hidden="1" thickTop="1" x14ac:dyDescent="0.25">
      <c r="A142" s="70"/>
      <c r="B142" s="70"/>
      <c r="C142" s="70"/>
      <c r="D142" s="70"/>
      <c r="E142" s="71"/>
      <c r="F142" s="71"/>
      <c r="G142" s="71"/>
      <c r="H142" s="71"/>
      <c r="I142" s="71"/>
      <c r="J142" s="881">
        <v>2</v>
      </c>
      <c r="K142" s="75">
        <f>IF($E$138=2, 50000,0)</f>
        <v>0</v>
      </c>
      <c r="L142" s="196"/>
      <c r="M142" s="196"/>
      <c r="N142" s="866"/>
      <c r="O142" s="866"/>
      <c r="P142" s="866"/>
      <c r="Q142" s="866"/>
      <c r="R142" s="866"/>
      <c r="S142" s="866"/>
      <c r="T142" s="866"/>
      <c r="U142" s="866"/>
      <c r="V142" s="866"/>
      <c r="W142" s="866"/>
      <c r="Y142" s="866"/>
      <c r="Z142" s="868"/>
      <c r="AA142" s="868"/>
      <c r="AB142" s="866"/>
      <c r="AC142" s="866"/>
      <c r="AD142" s="868"/>
      <c r="AE142" s="868"/>
    </row>
    <row r="143" spans="1:31" ht="14.4" hidden="1" thickTop="1" x14ac:dyDescent="0.25">
      <c r="A143" s="70"/>
      <c r="B143" s="70"/>
      <c r="C143" s="70"/>
      <c r="D143" s="70"/>
      <c r="E143" s="71"/>
      <c r="F143" s="71"/>
      <c r="G143" s="71"/>
      <c r="H143" s="71"/>
      <c r="I143" s="71"/>
      <c r="J143" s="881">
        <v>3</v>
      </c>
      <c r="K143" s="75">
        <f>IF($E$138=3, 75000,0)</f>
        <v>0</v>
      </c>
      <c r="L143" s="196"/>
      <c r="M143" s="196"/>
      <c r="N143" s="866"/>
      <c r="O143" s="866"/>
      <c r="P143" s="866"/>
      <c r="Q143" s="866"/>
      <c r="R143" s="866"/>
      <c r="S143" s="866"/>
      <c r="T143" s="866"/>
      <c r="U143" s="866"/>
      <c r="V143" s="866"/>
      <c r="W143" s="866"/>
      <c r="Y143" s="866"/>
      <c r="Z143" s="868"/>
      <c r="AA143" s="868"/>
      <c r="AB143" s="866"/>
      <c r="AC143" s="866"/>
      <c r="AD143" s="868"/>
      <c r="AE143" s="868"/>
    </row>
    <row r="144" spans="1:31" ht="13.5" hidden="1" customHeight="1" x14ac:dyDescent="0.25">
      <c r="A144" s="70"/>
      <c r="B144" s="70"/>
      <c r="C144" s="70"/>
      <c r="D144" s="70"/>
      <c r="E144" s="71"/>
      <c r="F144" s="71"/>
      <c r="G144" s="71"/>
      <c r="H144" s="71"/>
      <c r="I144" s="71"/>
      <c r="J144" s="881">
        <v>4</v>
      </c>
      <c r="K144" s="75">
        <f>IF($E$138=4, 100000,0)</f>
        <v>0</v>
      </c>
      <c r="L144" s="196"/>
      <c r="M144" s="196"/>
      <c r="N144" s="866"/>
      <c r="O144" s="866"/>
      <c r="P144" s="866"/>
      <c r="Q144" s="866"/>
      <c r="R144" s="866"/>
      <c r="S144" s="866"/>
      <c r="T144" s="866"/>
      <c r="U144" s="866"/>
      <c r="V144" s="866"/>
      <c r="W144" s="866"/>
      <c r="Y144" s="866"/>
      <c r="Z144" s="868"/>
      <c r="AA144" s="868"/>
      <c r="AB144" s="866"/>
      <c r="AC144" s="866"/>
      <c r="AD144" s="868"/>
      <c r="AE144" s="868"/>
    </row>
    <row r="145" spans="1:31" ht="13.5" hidden="1" customHeight="1" x14ac:dyDescent="0.25">
      <c r="A145" s="70"/>
      <c r="B145" s="70"/>
      <c r="C145" s="70"/>
      <c r="D145" s="70"/>
      <c r="E145" s="71"/>
      <c r="F145" s="71"/>
      <c r="G145" s="71"/>
      <c r="H145" s="71"/>
      <c r="I145" s="71"/>
      <c r="J145" s="881">
        <v>5</v>
      </c>
      <c r="K145" s="75">
        <f>IF($E$138=5, 125000,0)</f>
        <v>0</v>
      </c>
      <c r="L145" s="196"/>
      <c r="M145" s="196"/>
      <c r="N145" s="866"/>
      <c r="O145" s="866"/>
      <c r="P145" s="866"/>
      <c r="Q145" s="866"/>
      <c r="R145" s="866"/>
      <c r="S145" s="866"/>
      <c r="T145" s="866"/>
      <c r="U145" s="866"/>
      <c r="V145" s="866"/>
      <c r="W145" s="866"/>
      <c r="Y145" s="866"/>
      <c r="Z145" s="868"/>
      <c r="AA145" s="868"/>
      <c r="AB145" s="866"/>
      <c r="AC145" s="866"/>
      <c r="AD145" s="868"/>
      <c r="AE145" s="868"/>
    </row>
    <row r="146" spans="1:31" ht="14.4" hidden="1" thickTop="1" x14ac:dyDescent="0.25">
      <c r="A146" s="70"/>
      <c r="B146" s="70"/>
      <c r="C146" s="70"/>
      <c r="D146" s="70"/>
      <c r="E146" s="71"/>
      <c r="F146" s="71"/>
      <c r="G146" s="71"/>
      <c r="H146" s="71"/>
      <c r="I146" s="71"/>
      <c r="J146" s="881">
        <v>6</v>
      </c>
      <c r="K146" s="75">
        <f>IF($E$138=6, 150000,0)</f>
        <v>0</v>
      </c>
      <c r="L146" s="196"/>
      <c r="M146" s="196"/>
      <c r="N146" s="866"/>
      <c r="O146" s="866"/>
      <c r="P146" s="866"/>
      <c r="Q146" s="866"/>
      <c r="R146" s="866"/>
      <c r="S146" s="866"/>
      <c r="T146" s="866"/>
      <c r="U146" s="866"/>
      <c r="V146" s="866"/>
      <c r="W146" s="866"/>
      <c r="Y146" s="866"/>
      <c r="Z146" s="868"/>
      <c r="AA146" s="868"/>
      <c r="AB146" s="866"/>
      <c r="AC146" s="866"/>
      <c r="AD146" s="868"/>
      <c r="AE146" s="868"/>
    </row>
    <row r="147" spans="1:31" ht="14.4" hidden="1" thickTop="1" x14ac:dyDescent="0.25">
      <c r="A147" s="70"/>
      <c r="B147" s="70"/>
      <c r="C147" s="70"/>
      <c r="D147" s="70"/>
      <c r="E147" s="71"/>
      <c r="F147" s="71"/>
      <c r="G147" s="71"/>
      <c r="H147" s="71"/>
      <c r="I147" s="71"/>
      <c r="J147" s="881">
        <v>7</v>
      </c>
      <c r="K147" s="75">
        <f>IF($E$138=7, 175000,0)</f>
        <v>0</v>
      </c>
      <c r="L147" s="196"/>
      <c r="M147" s="196"/>
      <c r="N147" s="866"/>
      <c r="O147" s="866"/>
      <c r="P147" s="866"/>
      <c r="Q147" s="866"/>
      <c r="R147" s="866"/>
      <c r="S147" s="866"/>
      <c r="T147" s="866"/>
      <c r="U147" s="866"/>
      <c r="V147" s="866"/>
      <c r="W147" s="866"/>
      <c r="Y147" s="866"/>
      <c r="Z147" s="868"/>
      <c r="AA147" s="868"/>
      <c r="AB147" s="866"/>
      <c r="AC147" s="866"/>
      <c r="AD147" s="868"/>
      <c r="AE147" s="868"/>
    </row>
    <row r="148" spans="1:31" ht="14.4" hidden="1" thickTop="1" x14ac:dyDescent="0.25">
      <c r="A148" s="70"/>
      <c r="B148" s="70"/>
      <c r="C148" s="70"/>
      <c r="D148" s="70"/>
      <c r="E148" s="71"/>
      <c r="F148" s="71"/>
      <c r="G148" s="71"/>
      <c r="H148" s="71"/>
      <c r="I148" s="71"/>
      <c r="J148" s="881">
        <v>8</v>
      </c>
      <c r="K148" s="75">
        <f>IF($E$138=8, 200000,0)</f>
        <v>0</v>
      </c>
      <c r="L148" s="196"/>
      <c r="M148" s="196"/>
      <c r="N148" s="866"/>
      <c r="O148" s="866"/>
      <c r="P148" s="866"/>
      <c r="Q148" s="866"/>
      <c r="R148" s="866"/>
      <c r="S148" s="866"/>
      <c r="T148" s="866"/>
      <c r="U148" s="866"/>
      <c r="V148" s="866"/>
      <c r="W148" s="866"/>
      <c r="Y148" s="866"/>
      <c r="Z148" s="868"/>
      <c r="AA148" s="868"/>
      <c r="AB148" s="866"/>
      <c r="AC148" s="866"/>
      <c r="AD148" s="868"/>
      <c r="AE148" s="868"/>
    </row>
    <row r="149" spans="1:31" ht="14.4" hidden="1" thickTop="1" x14ac:dyDescent="0.25">
      <c r="A149" s="70"/>
      <c r="B149" s="70"/>
      <c r="C149" s="70"/>
      <c r="D149" s="70"/>
      <c r="E149" s="71"/>
      <c r="F149" s="71"/>
      <c r="G149" s="71"/>
      <c r="H149" s="71"/>
      <c r="I149" s="71"/>
      <c r="J149" s="881">
        <v>9</v>
      </c>
      <c r="K149" s="75">
        <f>IF($E$138=9, 225000,0)</f>
        <v>0</v>
      </c>
      <c r="L149" s="196"/>
      <c r="M149" s="196"/>
      <c r="N149" s="866"/>
      <c r="O149" s="866"/>
      <c r="P149" s="866"/>
      <c r="Q149" s="866"/>
      <c r="R149" s="866"/>
      <c r="S149" s="866"/>
      <c r="T149" s="866"/>
      <c r="U149" s="866"/>
      <c r="V149" s="866"/>
      <c r="W149" s="866"/>
      <c r="Y149" s="866"/>
      <c r="Z149" s="868"/>
      <c r="AA149" s="868"/>
      <c r="AB149" s="866"/>
      <c r="AC149" s="866"/>
      <c r="AD149" s="868"/>
      <c r="AE149" s="868"/>
    </row>
    <row r="150" spans="1:31" ht="14.4" hidden="1" thickTop="1" x14ac:dyDescent="0.25">
      <c r="A150" s="70"/>
      <c r="B150" s="70"/>
      <c r="C150" s="70"/>
      <c r="D150" s="70"/>
      <c r="E150" s="71"/>
      <c r="F150" s="71"/>
      <c r="G150" s="71"/>
      <c r="H150" s="71"/>
      <c r="I150" s="71"/>
      <c r="J150" s="881">
        <v>10</v>
      </c>
      <c r="K150" s="75">
        <f>IF($E$138=10, 250000,0)</f>
        <v>0</v>
      </c>
      <c r="L150" s="196"/>
      <c r="M150" s="196"/>
      <c r="N150" s="866"/>
      <c r="O150" s="866"/>
      <c r="P150" s="866"/>
      <c r="Q150" s="866"/>
      <c r="R150" s="866"/>
      <c r="S150" s="866"/>
      <c r="T150" s="866"/>
      <c r="U150" s="866"/>
      <c r="V150" s="866"/>
      <c r="W150" s="866"/>
      <c r="Y150" s="866"/>
      <c r="Z150" s="868"/>
      <c r="AA150" s="868"/>
      <c r="AB150" s="866"/>
      <c r="AC150" s="866"/>
      <c r="AD150" s="868"/>
      <c r="AE150" s="868"/>
    </row>
    <row r="151" spans="1:31" ht="14.4" hidden="1" thickTop="1" x14ac:dyDescent="0.25">
      <c r="A151" s="70"/>
      <c r="B151" s="70"/>
      <c r="C151" s="70"/>
      <c r="D151" s="70"/>
      <c r="E151" s="71"/>
      <c r="F151" s="71"/>
      <c r="G151" s="71"/>
      <c r="H151" s="71"/>
      <c r="I151" s="71"/>
      <c r="J151" s="881">
        <v>11</v>
      </c>
      <c r="K151" s="75">
        <f>IF($E$138=11, 275000,0)</f>
        <v>0</v>
      </c>
      <c r="L151" s="196"/>
      <c r="M151" s="196"/>
      <c r="N151" s="866"/>
      <c r="O151" s="866"/>
      <c r="P151" s="866"/>
      <c r="Q151" s="866"/>
      <c r="R151" s="866"/>
      <c r="S151" s="866"/>
      <c r="T151" s="866"/>
      <c r="U151" s="866"/>
      <c r="V151" s="866"/>
      <c r="W151" s="866"/>
      <c r="Y151" s="866"/>
      <c r="Z151" s="868"/>
      <c r="AA151" s="868"/>
      <c r="AB151" s="866"/>
      <c r="AC151" s="866"/>
      <c r="AD151" s="868"/>
      <c r="AE151" s="868"/>
    </row>
    <row r="152" spans="1:31" ht="14.4" hidden="1" thickTop="1" x14ac:dyDescent="0.25">
      <c r="A152" s="70"/>
      <c r="B152" s="70"/>
      <c r="C152" s="70"/>
      <c r="D152" s="70"/>
      <c r="E152" s="71"/>
      <c r="F152" s="71"/>
      <c r="G152" s="71"/>
      <c r="H152" s="71"/>
      <c r="I152" s="71"/>
      <c r="J152" s="881">
        <v>12</v>
      </c>
      <c r="K152" s="75">
        <f>IF($E$138=12, 300000,0)</f>
        <v>0</v>
      </c>
      <c r="L152" s="196"/>
      <c r="M152" s="196"/>
      <c r="N152" s="866"/>
      <c r="O152" s="866"/>
      <c r="P152" s="866"/>
      <c r="Q152" s="866"/>
      <c r="R152" s="866"/>
      <c r="S152" s="866"/>
      <c r="T152" s="866"/>
      <c r="U152" s="866"/>
      <c r="V152" s="866"/>
      <c r="W152" s="866"/>
      <c r="Y152" s="866"/>
      <c r="Z152" s="868"/>
      <c r="AA152" s="868"/>
      <c r="AB152" s="866"/>
      <c r="AC152" s="866"/>
      <c r="AD152" s="868"/>
      <c r="AE152" s="868"/>
    </row>
    <row r="153" spans="1:31" ht="14.4" hidden="1" thickTop="1" x14ac:dyDescent="0.25">
      <c r="A153" s="70"/>
      <c r="B153" s="70"/>
      <c r="C153" s="70"/>
      <c r="D153" s="70"/>
      <c r="E153" s="71"/>
      <c r="F153" s="71"/>
      <c r="G153" s="71"/>
      <c r="H153" s="71"/>
      <c r="I153" s="71"/>
      <c r="J153" s="881">
        <v>13</v>
      </c>
      <c r="K153" s="75">
        <f>IF($E$138=13, 325000,0)</f>
        <v>0</v>
      </c>
      <c r="L153" s="196"/>
      <c r="M153" s="196"/>
      <c r="N153" s="866"/>
      <c r="O153" s="866"/>
      <c r="P153" s="866"/>
      <c r="Q153" s="866"/>
      <c r="R153" s="866"/>
      <c r="S153" s="866"/>
      <c r="T153" s="866"/>
      <c r="U153" s="866"/>
      <c r="V153" s="866"/>
      <c r="W153" s="866"/>
      <c r="Y153" s="866"/>
      <c r="Z153" s="868"/>
      <c r="AA153" s="868"/>
      <c r="AB153" s="866"/>
      <c r="AC153" s="866"/>
      <c r="AD153" s="868"/>
      <c r="AE153" s="868"/>
    </row>
    <row r="154" spans="1:31" ht="14.4" hidden="1" thickTop="1" x14ac:dyDescent="0.25">
      <c r="A154" s="70"/>
      <c r="B154" s="70"/>
      <c r="C154" s="70"/>
      <c r="D154" s="70"/>
      <c r="E154" s="71"/>
      <c r="F154" s="71"/>
      <c r="G154" s="71"/>
      <c r="H154" s="71"/>
      <c r="I154" s="71"/>
      <c r="J154" s="881">
        <v>14</v>
      </c>
      <c r="K154" s="75">
        <f>IF($E$138=14, 350000,0)</f>
        <v>0</v>
      </c>
      <c r="L154" s="196"/>
      <c r="M154" s="196"/>
      <c r="N154" s="866"/>
      <c r="O154" s="866"/>
      <c r="P154" s="866"/>
      <c r="Q154" s="866"/>
      <c r="R154" s="866"/>
      <c r="S154" s="866"/>
      <c r="T154" s="866"/>
      <c r="U154" s="866"/>
      <c r="V154" s="866"/>
      <c r="W154" s="866"/>
      <c r="Y154" s="866"/>
      <c r="Z154" s="868"/>
      <c r="AA154" s="868"/>
      <c r="AB154" s="866"/>
      <c r="AC154" s="866"/>
      <c r="AD154" s="868"/>
      <c r="AE154" s="868"/>
    </row>
    <row r="155" spans="1:31" ht="14.4" hidden="1" thickTop="1" x14ac:dyDescent="0.25">
      <c r="A155" s="70"/>
      <c r="B155" s="70"/>
      <c r="C155" s="70"/>
      <c r="D155" s="70"/>
      <c r="E155" s="71"/>
      <c r="F155" s="71"/>
      <c r="G155" s="71"/>
      <c r="H155" s="71"/>
      <c r="I155" s="71"/>
      <c r="J155" s="881">
        <v>15</v>
      </c>
      <c r="K155" s="75">
        <f>IF($E$138=15, 375000,0)</f>
        <v>0</v>
      </c>
      <c r="L155" s="196"/>
      <c r="M155" s="196"/>
      <c r="N155" s="866"/>
      <c r="O155" s="866"/>
      <c r="P155" s="866"/>
      <c r="Q155" s="866"/>
      <c r="R155" s="866"/>
      <c r="S155" s="866"/>
      <c r="T155" s="866"/>
      <c r="U155" s="866"/>
      <c r="V155" s="866"/>
      <c r="W155" s="866"/>
      <c r="Y155" s="866"/>
      <c r="Z155" s="868"/>
      <c r="AA155" s="868"/>
      <c r="AB155" s="866"/>
      <c r="AC155" s="866"/>
      <c r="AD155" s="868"/>
      <c r="AE155" s="868"/>
    </row>
    <row r="156" spans="1:31" ht="14.4" hidden="1" thickTop="1" x14ac:dyDescent="0.25">
      <c r="A156" s="70"/>
      <c r="B156" s="70"/>
      <c r="C156" s="70"/>
      <c r="D156" s="70"/>
      <c r="E156" s="71"/>
      <c r="F156" s="71"/>
      <c r="G156" s="71"/>
      <c r="H156" s="71"/>
      <c r="I156" s="71"/>
      <c r="J156" s="881">
        <v>16</v>
      </c>
      <c r="K156" s="75">
        <f>IF($E$138=16, 400000,0)</f>
        <v>0</v>
      </c>
      <c r="L156" s="196"/>
      <c r="M156" s="196"/>
      <c r="N156" s="866"/>
      <c r="O156" s="866"/>
      <c r="P156" s="866"/>
      <c r="Q156" s="866"/>
      <c r="R156" s="866"/>
      <c r="S156" s="866"/>
      <c r="T156" s="866"/>
      <c r="U156" s="866"/>
      <c r="V156" s="866"/>
      <c r="W156" s="866"/>
      <c r="Y156" s="866"/>
      <c r="Z156" s="868"/>
      <c r="AA156" s="868"/>
      <c r="AB156" s="866"/>
      <c r="AC156" s="866"/>
      <c r="AD156" s="868"/>
      <c r="AE156" s="868"/>
    </row>
    <row r="157" spans="1:31" ht="14.4" hidden="1" thickTop="1" x14ac:dyDescent="0.25">
      <c r="A157" s="70"/>
      <c r="B157" s="70"/>
      <c r="C157" s="70"/>
      <c r="D157" s="70"/>
      <c r="E157" s="71"/>
      <c r="F157" s="71"/>
      <c r="G157" s="71"/>
      <c r="H157" s="71"/>
      <c r="I157" s="71"/>
      <c r="J157" s="71">
        <v>17</v>
      </c>
      <c r="K157" s="75">
        <f>IF($E$138=17, 425000,0)</f>
        <v>0</v>
      </c>
      <c r="L157" s="196"/>
      <c r="M157" s="196"/>
      <c r="N157" s="866"/>
      <c r="O157" s="866"/>
      <c r="P157" s="866"/>
      <c r="Q157" s="866"/>
      <c r="R157" s="866"/>
      <c r="S157" s="866"/>
      <c r="T157" s="866"/>
      <c r="U157" s="866"/>
      <c r="V157" s="866"/>
      <c r="W157" s="866"/>
      <c r="Y157" s="866"/>
      <c r="Z157" s="868"/>
      <c r="AA157" s="868"/>
      <c r="AB157" s="866"/>
      <c r="AC157" s="866"/>
      <c r="AD157" s="868"/>
      <c r="AE157" s="868"/>
    </row>
    <row r="158" spans="1:31" ht="14.4" hidden="1" thickTop="1" x14ac:dyDescent="0.25">
      <c r="A158" s="70"/>
      <c r="B158" s="70"/>
      <c r="C158" s="70"/>
      <c r="D158" s="70"/>
      <c r="E158" s="71"/>
      <c r="F158" s="71"/>
      <c r="G158" s="71"/>
      <c r="H158" s="71"/>
      <c r="I158" s="71"/>
      <c r="J158" s="71">
        <v>18</v>
      </c>
      <c r="K158" s="75">
        <f>IF($E$138=18, 450000,0)</f>
        <v>0</v>
      </c>
      <c r="L158" s="196"/>
      <c r="M158" s="196"/>
      <c r="N158" s="866"/>
      <c r="O158" s="866"/>
      <c r="P158" s="866"/>
      <c r="Q158" s="866"/>
      <c r="R158" s="866"/>
      <c r="S158" s="866"/>
      <c r="T158" s="866"/>
      <c r="U158" s="866"/>
      <c r="V158" s="866"/>
      <c r="W158" s="866"/>
      <c r="Y158" s="866"/>
      <c r="Z158" s="868"/>
      <c r="AA158" s="868"/>
      <c r="AB158" s="866"/>
      <c r="AC158" s="866"/>
      <c r="AD158" s="868"/>
      <c r="AE158" s="868"/>
    </row>
    <row r="159" spans="1:31" ht="14.4" hidden="1" thickTop="1" x14ac:dyDescent="0.25">
      <c r="A159" s="70"/>
      <c r="B159" s="70"/>
      <c r="C159" s="70"/>
      <c r="D159" s="70"/>
      <c r="E159" s="71"/>
      <c r="F159" s="71"/>
      <c r="G159" s="71"/>
      <c r="H159" s="71"/>
      <c r="I159" s="71"/>
      <c r="J159" s="71">
        <v>19</v>
      </c>
      <c r="K159" s="75">
        <f>IF($E$138=19, 475000,0)</f>
        <v>0</v>
      </c>
      <c r="L159" s="196"/>
      <c r="M159" s="196"/>
      <c r="N159" s="866"/>
      <c r="O159" s="866"/>
      <c r="P159" s="866"/>
      <c r="Q159" s="866"/>
      <c r="R159" s="866"/>
      <c r="S159" s="866"/>
      <c r="T159" s="866"/>
      <c r="U159" s="866"/>
      <c r="V159" s="866"/>
      <c r="W159" s="866"/>
      <c r="Y159" s="866"/>
      <c r="Z159" s="868"/>
      <c r="AA159" s="868"/>
      <c r="AB159" s="866"/>
      <c r="AC159" s="866"/>
      <c r="AD159" s="868"/>
      <c r="AE159" s="868"/>
    </row>
    <row r="160" spans="1:31" ht="14.4" hidden="1" thickTop="1" x14ac:dyDescent="0.25">
      <c r="A160" s="70"/>
      <c r="B160" s="70"/>
      <c r="C160" s="70"/>
      <c r="D160" s="70"/>
      <c r="E160" s="71"/>
      <c r="F160" s="71"/>
      <c r="G160" s="71"/>
      <c r="H160" s="71"/>
      <c r="I160" s="71"/>
      <c r="J160" s="71">
        <v>20</v>
      </c>
      <c r="K160" s="75">
        <f>IF($E$138=20, 500000,0)</f>
        <v>0</v>
      </c>
      <c r="L160" s="196"/>
      <c r="M160" s="196"/>
      <c r="N160" s="866"/>
      <c r="O160" s="866"/>
      <c r="P160" s="866"/>
      <c r="Q160" s="866"/>
      <c r="R160" s="866"/>
      <c r="S160" s="866"/>
      <c r="T160" s="866"/>
      <c r="U160" s="866"/>
      <c r="V160" s="866"/>
      <c r="W160" s="866"/>
      <c r="Y160" s="866"/>
      <c r="Z160" s="868"/>
      <c r="AA160" s="868"/>
      <c r="AB160" s="866"/>
      <c r="AC160" s="866"/>
      <c r="AD160" s="868"/>
      <c r="AE160" s="868"/>
    </row>
    <row r="161" spans="1:31" ht="14.4" hidden="1" thickTop="1" x14ac:dyDescent="0.25">
      <c r="A161" s="70"/>
      <c r="B161" s="70"/>
      <c r="C161" s="70"/>
      <c r="D161" s="70"/>
      <c r="E161" s="71"/>
      <c r="F161" s="71"/>
      <c r="G161" s="71"/>
      <c r="H161" s="71"/>
      <c r="I161" s="71"/>
      <c r="J161" s="71">
        <v>21</v>
      </c>
      <c r="K161" s="75">
        <f>IF($E$138=21, 525000,0)</f>
        <v>0</v>
      </c>
      <c r="L161" s="196"/>
      <c r="M161" s="196"/>
      <c r="N161" s="866"/>
      <c r="O161" s="866"/>
      <c r="P161" s="866"/>
      <c r="Q161" s="866"/>
      <c r="R161" s="866"/>
      <c r="S161" s="866"/>
      <c r="T161" s="866"/>
      <c r="U161" s="866"/>
      <c r="V161" s="866"/>
      <c r="W161" s="866"/>
      <c r="Y161" s="866"/>
      <c r="Z161" s="868"/>
      <c r="AA161" s="868"/>
      <c r="AB161" s="866"/>
      <c r="AC161" s="866"/>
      <c r="AD161" s="868"/>
      <c r="AE161" s="868"/>
    </row>
    <row r="162" spans="1:31" ht="14.4" hidden="1" thickTop="1" x14ac:dyDescent="0.25">
      <c r="A162" s="70"/>
      <c r="B162" s="70"/>
      <c r="C162" s="70"/>
      <c r="D162" s="70"/>
      <c r="E162" s="71"/>
      <c r="F162" s="71"/>
      <c r="G162" s="71"/>
      <c r="H162" s="71"/>
      <c r="I162" s="71"/>
      <c r="J162" s="71">
        <v>22</v>
      </c>
      <c r="K162" s="75">
        <f>IF($E$138=22, 555000,0)</f>
        <v>0</v>
      </c>
      <c r="L162" s="196"/>
      <c r="M162" s="196"/>
      <c r="N162" s="866"/>
      <c r="O162" s="866"/>
      <c r="P162" s="866"/>
      <c r="Q162" s="866"/>
      <c r="R162" s="866"/>
      <c r="S162" s="866"/>
      <c r="T162" s="866"/>
      <c r="U162" s="866"/>
      <c r="V162" s="866"/>
      <c r="W162" s="866"/>
      <c r="Y162" s="866"/>
      <c r="Z162" s="868"/>
      <c r="AA162" s="868"/>
      <c r="AB162" s="866"/>
      <c r="AC162" s="866"/>
      <c r="AD162" s="868"/>
      <c r="AE162" s="868"/>
    </row>
    <row r="163" spans="1:31" ht="14.4" hidden="1" thickTop="1" x14ac:dyDescent="0.25">
      <c r="A163" s="70"/>
      <c r="B163" s="70"/>
      <c r="C163" s="70"/>
      <c r="D163" s="70"/>
      <c r="E163" s="71"/>
      <c r="F163" s="71"/>
      <c r="G163" s="71"/>
      <c r="H163" s="71"/>
      <c r="I163" s="71"/>
      <c r="J163" s="71">
        <v>23</v>
      </c>
      <c r="K163" s="75">
        <f>IF($E$138=23, 575000,0)</f>
        <v>0</v>
      </c>
      <c r="L163" s="196"/>
      <c r="M163" s="196"/>
      <c r="N163" s="866"/>
      <c r="O163" s="866"/>
      <c r="P163" s="866"/>
      <c r="Q163" s="866"/>
      <c r="R163" s="866"/>
      <c r="S163" s="866"/>
      <c r="T163" s="866"/>
      <c r="U163" s="866"/>
      <c r="V163" s="866"/>
      <c r="W163" s="866"/>
      <c r="Y163" s="866"/>
      <c r="Z163" s="868"/>
      <c r="AA163" s="868"/>
      <c r="AB163" s="866"/>
      <c r="AC163" s="866"/>
      <c r="AD163" s="868"/>
      <c r="AE163" s="868"/>
    </row>
    <row r="164" spans="1:31" ht="14.4" hidden="1" thickTop="1" x14ac:dyDescent="0.25">
      <c r="A164" s="70"/>
      <c r="B164" s="70"/>
      <c r="C164" s="70"/>
      <c r="D164" s="70"/>
      <c r="E164" s="71"/>
      <c r="F164" s="71"/>
      <c r="G164" s="71"/>
      <c r="H164" s="71"/>
      <c r="I164" s="71"/>
      <c r="J164" s="71">
        <v>24</v>
      </c>
      <c r="K164" s="75">
        <f>IF($E$138=24, 600000,0)</f>
        <v>0</v>
      </c>
      <c r="L164" s="196"/>
      <c r="M164" s="196"/>
      <c r="N164" s="866"/>
      <c r="O164" s="866"/>
      <c r="P164" s="866"/>
      <c r="Q164" s="866"/>
      <c r="R164" s="866"/>
      <c r="S164" s="866"/>
      <c r="T164" s="866"/>
      <c r="U164" s="866"/>
      <c r="V164" s="866"/>
      <c r="W164" s="866"/>
      <c r="Y164" s="866"/>
      <c r="Z164" s="868"/>
      <c r="AA164" s="868"/>
      <c r="AB164" s="866"/>
      <c r="AC164" s="866"/>
      <c r="AD164" s="868"/>
      <c r="AE164" s="868"/>
    </row>
    <row r="165" spans="1:31" ht="14.4" hidden="1" thickTop="1" x14ac:dyDescent="0.25">
      <c r="A165" s="70"/>
      <c r="B165" s="70"/>
      <c r="C165" s="70"/>
      <c r="D165" s="70"/>
      <c r="E165" s="71"/>
      <c r="F165" s="71"/>
      <c r="G165" s="71"/>
      <c r="H165" s="71"/>
      <c r="I165" s="71"/>
      <c r="J165" s="71">
        <v>25</v>
      </c>
      <c r="K165" s="75">
        <f>IF($E$138=25, 625000,0)</f>
        <v>0</v>
      </c>
      <c r="L165" s="196"/>
      <c r="M165" s="196"/>
      <c r="N165" s="866"/>
      <c r="O165" s="866"/>
      <c r="P165" s="866"/>
      <c r="Q165" s="866"/>
      <c r="R165" s="866"/>
      <c r="S165" s="866"/>
      <c r="T165" s="866"/>
      <c r="U165" s="866"/>
      <c r="V165" s="866"/>
      <c r="W165" s="866"/>
      <c r="Y165" s="866"/>
      <c r="Z165" s="868"/>
      <c r="AA165" s="868"/>
      <c r="AB165" s="866"/>
      <c r="AC165" s="866"/>
      <c r="AD165" s="868"/>
      <c r="AE165" s="868"/>
    </row>
    <row r="166" spans="1:31" ht="14.4" hidden="1" thickTop="1" x14ac:dyDescent="0.25">
      <c r="A166" s="70"/>
      <c r="B166" s="70"/>
      <c r="C166" s="70"/>
      <c r="D166" s="70"/>
      <c r="E166" s="71"/>
      <c r="F166" s="71"/>
      <c r="G166" s="71"/>
      <c r="H166" s="71"/>
      <c r="I166" s="71"/>
      <c r="J166" s="71"/>
      <c r="K166" s="75"/>
      <c r="L166" s="196"/>
      <c r="M166" s="196"/>
      <c r="N166" s="866"/>
      <c r="O166" s="866"/>
      <c r="P166" s="866"/>
      <c r="Q166" s="866"/>
      <c r="R166" s="866"/>
      <c r="S166" s="866"/>
      <c r="T166" s="866"/>
      <c r="U166" s="866"/>
      <c r="V166" s="866"/>
      <c r="W166" s="866"/>
      <c r="Y166" s="866"/>
      <c r="Z166" s="868"/>
      <c r="AA166" s="868"/>
      <c r="AB166" s="866"/>
      <c r="AC166" s="866"/>
      <c r="AD166" s="868"/>
      <c r="AE166" s="868"/>
    </row>
    <row r="167" spans="1:31" ht="15" thickTop="1" thickBot="1" x14ac:dyDescent="0.3">
      <c r="A167" s="453"/>
      <c r="B167" s="453"/>
      <c r="C167" s="328"/>
      <c r="D167" s="328"/>
      <c r="E167" s="328"/>
      <c r="F167" s="328"/>
      <c r="G167" s="328"/>
      <c r="H167" s="328"/>
      <c r="I167" s="328"/>
      <c r="J167" s="328"/>
      <c r="K167" s="443"/>
      <c r="L167" s="90"/>
      <c r="M167" s="90"/>
      <c r="N167" s="866"/>
      <c r="O167" s="866"/>
      <c r="P167" s="866"/>
      <c r="Q167" s="866"/>
      <c r="R167" s="866"/>
      <c r="S167" s="866"/>
      <c r="T167" s="866"/>
      <c r="U167" s="866"/>
      <c r="V167" s="866"/>
      <c r="W167" s="866"/>
      <c r="Y167" s="866"/>
      <c r="Z167" s="868"/>
      <c r="AA167" s="868"/>
      <c r="AB167" s="866"/>
      <c r="AC167" s="866"/>
      <c r="AD167" s="868"/>
      <c r="AE167" s="868"/>
    </row>
    <row r="168" spans="1:31" ht="15.6" thickTop="1" thickBot="1" x14ac:dyDescent="0.35">
      <c r="A168" s="319" t="s">
        <v>427</v>
      </c>
      <c r="B168" s="319"/>
      <c r="C168" s="321" t="s">
        <v>60</v>
      </c>
      <c r="D168" s="320"/>
      <c r="E168" s="320"/>
      <c r="F168" s="320"/>
      <c r="G168" s="320"/>
      <c r="H168" s="458"/>
      <c r="I168" s="320"/>
      <c r="J168" s="320"/>
      <c r="K168" s="311" t="s">
        <v>226</v>
      </c>
      <c r="L168" s="192"/>
      <c r="M168" s="192"/>
      <c r="N168" s="866"/>
      <c r="O168" s="866"/>
      <c r="P168" s="866"/>
      <c r="Q168" s="866"/>
      <c r="R168" s="866"/>
      <c r="S168" s="866"/>
      <c r="T168" s="866"/>
      <c r="U168" s="866"/>
      <c r="V168" s="866"/>
      <c r="W168" s="866"/>
      <c r="Y168" s="866"/>
      <c r="Z168" s="868"/>
      <c r="AA168" s="868"/>
      <c r="AB168" s="866"/>
      <c r="AC168" s="866"/>
      <c r="AD168" s="868"/>
      <c r="AE168" s="868"/>
    </row>
    <row r="169" spans="1:31" ht="14.4" thickTop="1" x14ac:dyDescent="0.25">
      <c r="A169" s="319" t="s">
        <v>329</v>
      </c>
      <c r="B169" s="319"/>
      <c r="C169" s="320"/>
      <c r="D169" s="320"/>
      <c r="E169" s="320"/>
      <c r="F169" s="320"/>
      <c r="G169" s="320"/>
      <c r="H169" s="320"/>
      <c r="I169" s="438"/>
      <c r="J169" s="320"/>
      <c r="K169" s="438"/>
      <c r="L169" s="90"/>
      <c r="M169" s="90"/>
      <c r="N169" s="866"/>
      <c r="O169" s="866"/>
      <c r="P169" s="866"/>
      <c r="Q169" s="866"/>
      <c r="R169" s="866"/>
      <c r="S169" s="866"/>
      <c r="T169" s="866"/>
      <c r="U169" s="866"/>
      <c r="V169" s="866"/>
      <c r="W169" s="866"/>
      <c r="Y169" s="866"/>
      <c r="Z169" s="868"/>
      <c r="AA169" s="868"/>
      <c r="AB169" s="866"/>
      <c r="AC169" s="866"/>
      <c r="AD169" s="868"/>
      <c r="AE169" s="868"/>
    </row>
    <row r="170" spans="1:31" x14ac:dyDescent="0.25">
      <c r="A170" s="319" t="s">
        <v>339</v>
      </c>
      <c r="B170" s="319"/>
      <c r="C170" s="320"/>
      <c r="D170" s="320"/>
      <c r="E170" s="320"/>
      <c r="F170" s="320"/>
      <c r="G170" s="320"/>
      <c r="H170" s="320"/>
      <c r="I170" s="438"/>
      <c r="J170" s="320"/>
      <c r="K170" s="438"/>
      <c r="L170" s="90"/>
      <c r="M170" s="90"/>
      <c r="N170" s="866"/>
      <c r="O170" s="866"/>
      <c r="P170" s="866"/>
      <c r="Q170" s="866"/>
      <c r="R170" s="866"/>
      <c r="S170" s="866"/>
      <c r="T170" s="866"/>
      <c r="U170" s="866"/>
      <c r="V170" s="866"/>
      <c r="W170" s="866"/>
      <c r="Y170" s="866"/>
      <c r="Z170" s="868"/>
      <c r="AA170" s="868"/>
      <c r="AB170" s="866"/>
      <c r="AC170" s="866"/>
      <c r="AD170" s="868"/>
      <c r="AE170" s="868"/>
    </row>
    <row r="171" spans="1:31" ht="23.25" customHeight="1" thickBot="1" x14ac:dyDescent="0.3">
      <c r="A171" s="319" t="s">
        <v>340</v>
      </c>
      <c r="B171" s="319"/>
      <c r="C171" s="320"/>
      <c r="D171" s="320"/>
      <c r="E171" s="320"/>
      <c r="F171" s="320"/>
      <c r="G171" s="320"/>
      <c r="H171" s="320"/>
      <c r="I171" s="438"/>
      <c r="J171" s="320"/>
      <c r="K171" s="320"/>
      <c r="L171" s="23"/>
      <c r="M171" s="23"/>
      <c r="N171" s="866"/>
      <c r="O171" s="866"/>
      <c r="P171" s="866"/>
      <c r="Q171" s="866"/>
      <c r="R171" s="866"/>
      <c r="S171" s="866"/>
      <c r="T171" s="866"/>
      <c r="U171" s="866"/>
      <c r="V171" s="866"/>
      <c r="W171" s="866"/>
      <c r="Y171" s="866"/>
      <c r="Z171" s="868"/>
      <c r="AA171" s="868"/>
      <c r="AB171" s="866"/>
      <c r="AC171" s="866"/>
      <c r="AD171" s="868"/>
      <c r="AE171" s="868"/>
    </row>
    <row r="172" spans="1:31" ht="15" thickTop="1" thickBot="1" x14ac:dyDescent="0.3">
      <c r="A172" s="319" t="s">
        <v>367</v>
      </c>
      <c r="B172" s="320"/>
      <c r="C172" s="320"/>
      <c r="D172" s="320"/>
      <c r="E172" s="320"/>
      <c r="F172" s="320"/>
      <c r="G172" s="320"/>
      <c r="H172" s="320"/>
      <c r="I172" s="459"/>
      <c r="J172" s="320"/>
      <c r="K172" s="460"/>
      <c r="L172" s="197"/>
      <c r="M172" s="197"/>
      <c r="N172" s="866"/>
      <c r="O172" s="866"/>
      <c r="P172" s="866"/>
      <c r="Q172" s="866"/>
      <c r="R172" s="866"/>
      <c r="S172" s="866"/>
      <c r="T172" s="866"/>
      <c r="U172" s="866"/>
      <c r="V172" s="866"/>
      <c r="W172" s="866"/>
      <c r="Y172" s="866"/>
      <c r="Z172" s="868"/>
      <c r="AA172" s="868"/>
      <c r="AB172" s="866"/>
      <c r="AC172" s="866"/>
      <c r="AD172" s="868"/>
      <c r="AE172" s="868"/>
    </row>
    <row r="173" spans="1:31" ht="15.6" thickTop="1" thickBot="1" x14ac:dyDescent="0.35">
      <c r="A173" s="458" t="s">
        <v>341</v>
      </c>
      <c r="B173" s="319"/>
      <c r="C173" s="320"/>
      <c r="D173" s="320"/>
      <c r="E173" s="319"/>
      <c r="F173" s="319"/>
      <c r="G173" s="319"/>
      <c r="H173" s="320"/>
      <c r="I173" s="459"/>
      <c r="J173" s="320"/>
      <c r="K173" s="460"/>
      <c r="L173" s="197"/>
      <c r="M173" s="197"/>
      <c r="N173" s="866"/>
      <c r="O173" s="866"/>
      <c r="P173" s="866"/>
      <c r="Q173" s="866"/>
      <c r="R173" s="866"/>
      <c r="S173" s="866"/>
      <c r="T173" s="866"/>
      <c r="U173" s="866"/>
      <c r="V173" s="866"/>
      <c r="W173" s="866"/>
      <c r="Y173" s="866"/>
      <c r="Z173" s="868"/>
      <c r="AA173" s="868"/>
      <c r="AB173" s="866"/>
      <c r="AC173" s="866"/>
      <c r="AD173" s="868"/>
      <c r="AE173" s="868"/>
    </row>
    <row r="174" spans="1:31" ht="15.6" thickTop="1" thickBot="1" x14ac:dyDescent="0.35">
      <c r="A174" s="630"/>
      <c r="B174" s="450"/>
      <c r="C174" s="325"/>
      <c r="D174" s="325"/>
      <c r="E174" s="450"/>
      <c r="F174" s="450"/>
      <c r="G174" s="450"/>
      <c r="H174" s="325"/>
      <c r="I174" s="244"/>
      <c r="J174" s="325"/>
      <c r="K174" s="325"/>
      <c r="L174" s="23"/>
      <c r="M174" s="23"/>
      <c r="N174" s="866"/>
      <c r="O174" s="866"/>
      <c r="P174" s="866"/>
      <c r="Q174" s="866"/>
      <c r="R174" s="866"/>
      <c r="S174" s="866"/>
      <c r="T174" s="866"/>
      <c r="U174" s="866"/>
      <c r="V174" s="866"/>
      <c r="W174" s="866"/>
      <c r="Y174" s="866"/>
      <c r="Z174" s="868"/>
      <c r="AA174" s="868"/>
      <c r="AB174" s="866"/>
      <c r="AC174" s="866"/>
      <c r="AD174" s="868"/>
      <c r="AE174" s="868"/>
    </row>
    <row r="175" spans="1:31" ht="15.6" thickTop="1" thickBot="1" x14ac:dyDescent="0.35">
      <c r="A175" s="319" t="s">
        <v>428</v>
      </c>
      <c r="B175" s="319"/>
      <c r="C175" s="320"/>
      <c r="D175" s="320"/>
      <c r="E175" s="321" t="s">
        <v>60</v>
      </c>
      <c r="F175" s="458"/>
      <c r="G175" s="320"/>
      <c r="H175" s="320"/>
      <c r="I175" s="438"/>
      <c r="J175" s="320"/>
      <c r="K175" s="311" t="s">
        <v>119</v>
      </c>
      <c r="L175" s="192"/>
      <c r="M175" s="192"/>
      <c r="N175" s="866"/>
      <c r="O175" s="866"/>
      <c r="P175" s="866"/>
      <c r="Q175" s="866"/>
      <c r="R175" s="866"/>
      <c r="S175" s="866"/>
      <c r="T175" s="866"/>
      <c r="U175" s="866"/>
      <c r="V175" s="866"/>
      <c r="W175" s="866"/>
      <c r="Y175" s="866"/>
      <c r="Z175" s="866"/>
      <c r="AA175" s="866"/>
      <c r="AB175" s="866"/>
      <c r="AC175" s="866"/>
      <c r="AD175" s="866"/>
      <c r="AE175" s="866"/>
    </row>
    <row r="176" spans="1:31" ht="14.4" thickTop="1" x14ac:dyDescent="0.25">
      <c r="A176" s="319" t="s">
        <v>329</v>
      </c>
      <c r="B176" s="319"/>
      <c r="C176" s="320"/>
      <c r="D176" s="320"/>
      <c r="E176" s="320"/>
      <c r="F176" s="320"/>
      <c r="G176" s="320"/>
      <c r="H176" s="320"/>
      <c r="I176" s="438"/>
      <c r="J176" s="310"/>
      <c r="K176" s="448"/>
      <c r="L176" s="198"/>
      <c r="M176" s="198"/>
      <c r="N176" s="866"/>
      <c r="O176" s="866"/>
      <c r="P176" s="866"/>
      <c r="Q176" s="866"/>
      <c r="R176" s="866"/>
      <c r="S176" s="866"/>
      <c r="T176" s="866"/>
      <c r="U176" s="866"/>
      <c r="V176" s="866"/>
      <c r="W176" s="866"/>
      <c r="Y176" s="866"/>
      <c r="Z176" s="866"/>
      <c r="AA176" s="866"/>
      <c r="AB176" s="866"/>
      <c r="AC176" s="866"/>
      <c r="AD176" s="866"/>
      <c r="AE176" s="866"/>
    </row>
    <row r="177" spans="1:31" x14ac:dyDescent="0.25">
      <c r="A177" s="319" t="s">
        <v>452</v>
      </c>
      <c r="B177" s="319"/>
      <c r="C177" s="320"/>
      <c r="D177" s="320"/>
      <c r="E177" s="320"/>
      <c r="F177" s="320"/>
      <c r="G177" s="320"/>
      <c r="H177" s="320"/>
      <c r="I177" s="438"/>
      <c r="J177" s="310"/>
      <c r="K177" s="448"/>
      <c r="N177" s="866"/>
      <c r="O177" s="866"/>
      <c r="P177" s="866"/>
      <c r="Q177" s="866"/>
      <c r="R177" s="866"/>
      <c r="S177" s="866"/>
      <c r="T177" s="866"/>
      <c r="U177" s="866"/>
      <c r="V177" s="866"/>
      <c r="W177" s="866"/>
      <c r="Y177" s="866"/>
      <c r="Z177" s="866"/>
      <c r="AA177" s="866"/>
      <c r="AB177" s="866"/>
      <c r="AC177" s="866"/>
      <c r="AD177" s="866"/>
      <c r="AE177" s="866"/>
    </row>
    <row r="178" spans="1:31" x14ac:dyDescent="0.25">
      <c r="A178" s="319" t="s">
        <v>453</v>
      </c>
      <c r="B178" s="319"/>
      <c r="C178" s="320"/>
      <c r="D178" s="320"/>
      <c r="E178" s="320"/>
      <c r="F178" s="320"/>
      <c r="G178" s="320"/>
      <c r="H178" s="320"/>
      <c r="I178" s="438"/>
      <c r="J178" s="310"/>
      <c r="K178" s="448"/>
      <c r="N178" s="866"/>
      <c r="O178" s="866"/>
      <c r="P178" s="866"/>
      <c r="Q178" s="866"/>
      <c r="R178" s="866"/>
      <c r="S178" s="866"/>
      <c r="T178" s="866"/>
      <c r="U178" s="866"/>
      <c r="V178" s="866"/>
      <c r="W178" s="866"/>
      <c r="Y178" s="866"/>
      <c r="Z178" s="866"/>
      <c r="AA178" s="866"/>
      <c r="AB178" s="866"/>
      <c r="AC178" s="866"/>
      <c r="AD178" s="866"/>
      <c r="AE178" s="866"/>
    </row>
    <row r="179" spans="1:31" x14ac:dyDescent="0.25">
      <c r="A179" s="319" t="s">
        <v>344</v>
      </c>
      <c r="B179" s="320"/>
      <c r="C179" s="320"/>
      <c r="D179" s="320"/>
      <c r="E179" s="320"/>
      <c r="F179" s="320"/>
      <c r="G179" s="459"/>
      <c r="H179" s="320"/>
      <c r="I179" s="438"/>
      <c r="J179" s="310"/>
      <c r="K179" s="448"/>
      <c r="N179" s="866"/>
      <c r="O179" s="866"/>
      <c r="P179" s="866"/>
      <c r="Q179" s="866"/>
      <c r="R179" s="866"/>
      <c r="S179" s="866"/>
      <c r="T179" s="866"/>
      <c r="U179" s="866"/>
      <c r="V179" s="866"/>
      <c r="W179" s="866"/>
      <c r="Y179" s="866"/>
      <c r="Z179" s="866"/>
      <c r="AA179" s="866"/>
      <c r="AB179" s="866"/>
      <c r="AC179" s="866"/>
      <c r="AD179" s="866"/>
      <c r="AE179" s="866"/>
    </row>
    <row r="180" spans="1:31" x14ac:dyDescent="0.25">
      <c r="A180" s="319"/>
      <c r="B180" s="320"/>
      <c r="C180" s="320"/>
      <c r="D180" s="320"/>
      <c r="E180" s="320"/>
      <c r="F180" s="320"/>
      <c r="G180" s="459"/>
      <c r="H180" s="1564" t="s">
        <v>230</v>
      </c>
      <c r="I180" s="1564"/>
      <c r="J180" s="1564"/>
      <c r="K180" s="631"/>
      <c r="L180" s="198"/>
      <c r="M180" s="867"/>
      <c r="N180" s="866"/>
      <c r="O180" s="866"/>
      <c r="P180" s="641"/>
      <c r="Q180" s="866"/>
      <c r="R180" s="866"/>
      <c r="S180" s="866"/>
      <c r="T180" s="866"/>
      <c r="U180" s="866"/>
      <c r="V180" s="866"/>
      <c r="W180" s="866"/>
      <c r="Y180" s="866"/>
      <c r="Z180" s="866"/>
      <c r="AA180" s="866"/>
      <c r="AB180" s="866"/>
      <c r="AC180" s="866"/>
      <c r="AD180" s="866"/>
      <c r="AE180" s="866"/>
    </row>
    <row r="181" spans="1:31" x14ac:dyDescent="0.25">
      <c r="A181" s="319"/>
      <c r="B181" s="320"/>
      <c r="C181" s="320"/>
      <c r="D181" s="320"/>
      <c r="E181" s="320"/>
      <c r="F181" s="320"/>
      <c r="G181" s="459"/>
      <c r="H181" s="467" t="s">
        <v>229</v>
      </c>
      <c r="I181" s="905" t="s">
        <v>454</v>
      </c>
      <c r="J181" s="467" t="s">
        <v>228</v>
      </c>
      <c r="K181" s="632" t="s">
        <v>4</v>
      </c>
      <c r="L181" s="198"/>
      <c r="M181" s="867"/>
      <c r="N181" s="866"/>
      <c r="O181" s="866"/>
      <c r="P181" s="641"/>
      <c r="Q181" s="866"/>
      <c r="R181" s="866"/>
      <c r="S181" s="866"/>
      <c r="T181" s="866"/>
      <c r="U181" s="866"/>
      <c r="V181" s="866"/>
      <c r="W181" s="866"/>
      <c r="Y181" s="866"/>
      <c r="Z181" s="866"/>
      <c r="AA181" s="866"/>
      <c r="AB181" s="866"/>
      <c r="AC181" s="866"/>
      <c r="AD181" s="866"/>
      <c r="AE181" s="866"/>
    </row>
    <row r="182" spans="1:31" ht="14.4" x14ac:dyDescent="0.3">
      <c r="A182" s="319"/>
      <c r="B182" s="320"/>
      <c r="C182" s="320"/>
      <c r="D182" s="320"/>
      <c r="E182" s="320"/>
      <c r="F182" s="320"/>
      <c r="G182" s="636" t="str">
        <f>IF(K182&gt;24999,"Note: Subaward has reached the 25K limit. If budget continues in future years, do not answer this question.", " ")</f>
        <v xml:space="preserve"> </v>
      </c>
      <c r="H182" s="633" t="s">
        <v>232</v>
      </c>
      <c r="I182" s="634"/>
      <c r="J182" s="634"/>
      <c r="K182" s="635">
        <f>I182+J182</f>
        <v>0</v>
      </c>
      <c r="L182" s="173">
        <f>IF(K182&gt;25000, 25000-I182, J182)</f>
        <v>0</v>
      </c>
      <c r="M182" s="867"/>
      <c r="N182" s="866"/>
      <c r="O182" s="866"/>
      <c r="P182" s="641"/>
      <c r="Q182" s="866"/>
      <c r="R182" s="866"/>
      <c r="S182" s="866"/>
      <c r="T182" s="866"/>
      <c r="U182" s="866"/>
      <c r="V182" s="866"/>
      <c r="W182" s="866"/>
      <c r="Y182" s="866"/>
      <c r="Z182" s="866"/>
      <c r="AA182" s="866"/>
      <c r="AB182" s="866"/>
      <c r="AC182" s="866"/>
      <c r="AD182" s="866"/>
      <c r="AE182" s="866"/>
    </row>
    <row r="183" spans="1:31" ht="14.4" x14ac:dyDescent="0.3">
      <c r="A183" s="319"/>
      <c r="B183" s="320"/>
      <c r="C183" s="320"/>
      <c r="D183" s="320"/>
      <c r="E183" s="320"/>
      <c r="F183" s="320"/>
      <c r="G183" s="636" t="str">
        <f>IF(K183&gt;24999,"Note: Subaward has reached the 25K limit. If budget continues in future years, do not answer this question.", " ")</f>
        <v xml:space="preserve"> </v>
      </c>
      <c r="H183" s="633" t="s">
        <v>233</v>
      </c>
      <c r="I183" s="634"/>
      <c r="J183" s="634"/>
      <c r="K183" s="635">
        <f>I183+J183</f>
        <v>0</v>
      </c>
      <c r="L183" s="173">
        <f>IF(K183&gt;25000, 25000-I183, J183)</f>
        <v>0</v>
      </c>
      <c r="M183" s="867"/>
      <c r="N183" s="866"/>
      <c r="O183" s="866"/>
      <c r="P183" s="641"/>
      <c r="Q183" s="866"/>
      <c r="R183" s="866"/>
      <c r="S183" s="866"/>
      <c r="T183" s="866"/>
      <c r="U183" s="866"/>
      <c r="V183" s="866"/>
      <c r="W183" s="866"/>
      <c r="Y183" s="866"/>
      <c r="Z183" s="866"/>
      <c r="AA183" s="866"/>
      <c r="AB183" s="866"/>
      <c r="AC183" s="866"/>
      <c r="AD183" s="866"/>
      <c r="AE183" s="866"/>
    </row>
    <row r="184" spans="1:31" ht="14.4" hidden="1" x14ac:dyDescent="0.3">
      <c r="A184" s="172"/>
      <c r="B184" s="67"/>
      <c r="C184" s="56"/>
      <c r="D184" s="56"/>
      <c r="E184" s="67"/>
      <c r="F184" s="67"/>
      <c r="G184" s="67"/>
      <c r="H184" s="23"/>
      <c r="I184" s="214"/>
      <c r="J184" s="197"/>
      <c r="K184" s="197"/>
      <c r="L184" s="213"/>
      <c r="M184" s="197"/>
      <c r="N184" s="326"/>
      <c r="O184" s="866"/>
      <c r="P184" s="866"/>
      <c r="Q184" s="866"/>
      <c r="R184" s="866"/>
      <c r="S184" s="866"/>
      <c r="T184" s="866"/>
      <c r="U184" s="866"/>
      <c r="V184" s="866"/>
      <c r="W184" s="866"/>
      <c r="Y184" s="866"/>
      <c r="Z184" s="868"/>
      <c r="AA184" s="868"/>
      <c r="AB184" s="866"/>
      <c r="AC184" s="866"/>
      <c r="AD184" s="868"/>
      <c r="AE184" s="868"/>
    </row>
    <row r="185" spans="1:31" hidden="1" x14ac:dyDescent="0.25">
      <c r="A185" s="70"/>
      <c r="B185" s="70"/>
      <c r="C185" s="70"/>
      <c r="D185" s="70"/>
      <c r="E185" s="70"/>
      <c r="F185" s="70"/>
      <c r="G185" s="70"/>
      <c r="H185" s="70"/>
      <c r="I185" s="70"/>
      <c r="J185" s="70"/>
      <c r="K185" s="88"/>
      <c r="L185" s="199"/>
      <c r="M185" s="199"/>
      <c r="N185" s="866"/>
      <c r="O185" s="866"/>
      <c r="P185" s="866"/>
      <c r="Q185" s="866"/>
      <c r="R185" s="866"/>
      <c r="S185" s="866"/>
      <c r="T185" s="866"/>
      <c r="U185" s="866"/>
      <c r="V185" s="866"/>
      <c r="W185" s="866"/>
      <c r="Y185" s="866"/>
      <c r="Z185" s="868"/>
      <c r="AA185" s="868"/>
      <c r="AB185" s="866"/>
      <c r="AC185" s="866"/>
      <c r="AD185" s="868"/>
      <c r="AE185" s="868"/>
    </row>
    <row r="186" spans="1:31" hidden="1" x14ac:dyDescent="0.25">
      <c r="A186" s="70"/>
      <c r="B186" s="70"/>
      <c r="C186" s="70"/>
      <c r="D186" s="70"/>
      <c r="E186" s="71"/>
      <c r="F186" s="71"/>
      <c r="G186" s="71"/>
      <c r="H186" s="71"/>
      <c r="I186" s="71"/>
      <c r="J186" s="89" t="s">
        <v>71</v>
      </c>
      <c r="K186" s="88">
        <f>SUM(K140:K165)+SUM(K172:K173)+SUM(L182:L183)</f>
        <v>0</v>
      </c>
      <c r="L186" s="199"/>
      <c r="M186" s="199"/>
      <c r="N186" s="866"/>
      <c r="O186" s="866"/>
      <c r="P186" s="866"/>
      <c r="Q186" s="866"/>
      <c r="R186" s="866"/>
      <c r="S186" s="866"/>
      <c r="T186" s="866"/>
      <c r="U186" s="866"/>
      <c r="V186" s="866"/>
      <c r="W186" s="866"/>
      <c r="Y186" s="866"/>
      <c r="Z186" s="868"/>
      <c r="AA186" s="868"/>
      <c r="AB186" s="866"/>
      <c r="AC186" s="866"/>
      <c r="AD186" s="868"/>
      <c r="AE186" s="868"/>
    </row>
    <row r="187" spans="1:31" s="13" customFormat="1" ht="14.4" thickBot="1" x14ac:dyDescent="0.3">
      <c r="A187" s="453"/>
      <c r="B187" s="453"/>
      <c r="C187" s="328"/>
      <c r="D187" s="328"/>
      <c r="E187" s="328"/>
      <c r="F187" s="328"/>
      <c r="G187" s="328"/>
      <c r="H187" s="328"/>
      <c r="I187" s="328"/>
      <c r="J187" s="328"/>
      <c r="K187" s="443"/>
      <c r="L187" s="90"/>
      <c r="M187" s="90"/>
      <c r="N187" s="326"/>
      <c r="O187" s="326"/>
      <c r="P187" s="326"/>
      <c r="Q187" s="326"/>
      <c r="R187" s="326"/>
      <c r="S187" s="326"/>
      <c r="T187" s="326"/>
      <c r="U187" s="326"/>
      <c r="V187" s="326"/>
      <c r="W187" s="326"/>
      <c r="Y187" s="326"/>
      <c r="Z187" s="510"/>
      <c r="AA187" s="510"/>
      <c r="AB187" s="326"/>
      <c r="AC187" s="326"/>
      <c r="AD187" s="510"/>
      <c r="AE187" s="510"/>
    </row>
    <row r="188" spans="1:31" ht="15" thickTop="1" thickBot="1" x14ac:dyDescent="0.3">
      <c r="A188" s="319" t="s">
        <v>377</v>
      </c>
      <c r="B188" s="319"/>
      <c r="C188" s="320"/>
      <c r="D188" s="320"/>
      <c r="E188" s="320"/>
      <c r="F188" s="320"/>
      <c r="G188" s="320"/>
      <c r="H188" s="321" t="s">
        <v>60</v>
      </c>
      <c r="I188" s="320"/>
      <c r="J188" s="320"/>
      <c r="K188" s="311" t="s">
        <v>273</v>
      </c>
      <c r="L188" s="23"/>
      <c r="M188" s="23"/>
      <c r="N188" s="866"/>
      <c r="O188" s="866"/>
      <c r="P188" s="642"/>
      <c r="Q188" s="866"/>
      <c r="R188" s="866"/>
      <c r="S188" s="866"/>
      <c r="T188" s="866"/>
      <c r="U188" s="866"/>
      <c r="V188" s="866"/>
      <c r="W188" s="866"/>
      <c r="Y188" s="866"/>
      <c r="Z188" s="868"/>
      <c r="AA188" s="868"/>
      <c r="AB188" s="866"/>
      <c r="AC188" s="866"/>
      <c r="AD188" s="868"/>
      <c r="AE188" s="868"/>
    </row>
    <row r="189" spans="1:31" ht="27.75" customHeight="1" thickTop="1" x14ac:dyDescent="0.25">
      <c r="A189" s="319" t="s">
        <v>336</v>
      </c>
      <c r="B189" s="319"/>
      <c r="C189" s="320"/>
      <c r="D189" s="320"/>
      <c r="E189" s="320"/>
      <c r="F189" s="320"/>
      <c r="G189" s="320"/>
      <c r="H189" s="320"/>
      <c r="I189" s="320"/>
      <c r="J189" s="320"/>
      <c r="K189" s="438"/>
      <c r="L189" s="90"/>
      <c r="M189" s="90"/>
      <c r="N189" s="866"/>
      <c r="O189" s="866"/>
      <c r="P189" s="642"/>
      <c r="Q189" s="866"/>
      <c r="R189" s="866"/>
      <c r="S189" s="866"/>
      <c r="T189" s="866"/>
      <c r="U189" s="866"/>
      <c r="V189" s="866"/>
      <c r="W189" s="866"/>
      <c r="Y189" s="866"/>
      <c r="Z189" s="868"/>
      <c r="AA189" s="868"/>
      <c r="AB189" s="866"/>
      <c r="AC189" s="866"/>
      <c r="AD189" s="868"/>
      <c r="AE189" s="868"/>
    </row>
    <row r="190" spans="1:31" x14ac:dyDescent="0.25">
      <c r="A190" s="461" t="s">
        <v>345</v>
      </c>
      <c r="B190" s="319"/>
      <c r="C190" s="320"/>
      <c r="D190" s="320"/>
      <c r="E190" s="320"/>
      <c r="F190" s="320"/>
      <c r="G190" s="320"/>
      <c r="H190" s="320"/>
      <c r="I190" s="320"/>
      <c r="J190" s="320"/>
      <c r="K190" s="320"/>
      <c r="N190" s="866"/>
      <c r="O190" s="866"/>
      <c r="P190" s="866"/>
      <c r="Q190" s="866"/>
      <c r="R190" s="866"/>
      <c r="S190" s="866"/>
      <c r="T190" s="866"/>
      <c r="U190" s="866"/>
      <c r="V190" s="866"/>
      <c r="W190" s="866"/>
      <c r="Y190" s="866"/>
      <c r="Z190" s="868"/>
      <c r="AA190" s="868"/>
      <c r="AB190" s="866"/>
      <c r="AC190" s="866"/>
      <c r="AD190" s="868"/>
      <c r="AE190" s="868"/>
    </row>
    <row r="191" spans="1:31" ht="18" customHeight="1" x14ac:dyDescent="0.25">
      <c r="A191" s="462" t="s">
        <v>346</v>
      </c>
      <c r="B191" s="319"/>
      <c r="C191" s="320"/>
      <c r="D191" s="320"/>
      <c r="E191" s="320"/>
      <c r="F191" s="320"/>
      <c r="G191" s="320"/>
      <c r="H191" s="320"/>
      <c r="I191" s="320"/>
      <c r="J191" s="320"/>
      <c r="K191" s="320"/>
      <c r="N191" s="866"/>
      <c r="O191" s="866"/>
      <c r="P191" s="866"/>
      <c r="Q191" s="866"/>
      <c r="R191" s="866"/>
      <c r="S191" s="866"/>
      <c r="T191" s="866"/>
      <c r="U191" s="866"/>
      <c r="V191" s="866"/>
      <c r="W191" s="866"/>
      <c r="Y191" s="866"/>
      <c r="Z191" s="868"/>
      <c r="AA191" s="868"/>
      <c r="AB191" s="866"/>
      <c r="AC191" s="866"/>
      <c r="AD191" s="868"/>
      <c r="AE191" s="868"/>
    </row>
    <row r="192" spans="1:31" ht="18" customHeight="1" x14ac:dyDescent="0.25">
      <c r="A192" s="463" t="s">
        <v>335</v>
      </c>
      <c r="B192" s="319"/>
      <c r="C192" s="320"/>
      <c r="D192" s="320"/>
      <c r="E192" s="320"/>
      <c r="F192" s="320"/>
      <c r="G192" s="320"/>
      <c r="H192" s="320"/>
      <c r="I192" s="320"/>
      <c r="J192" s="320"/>
      <c r="K192" s="320"/>
      <c r="N192" s="866"/>
      <c r="O192" s="866"/>
      <c r="P192" s="866"/>
      <c r="Q192" s="866"/>
      <c r="R192" s="866"/>
      <c r="S192" s="866"/>
      <c r="T192" s="866"/>
      <c r="U192" s="866"/>
      <c r="V192" s="866"/>
      <c r="W192" s="866"/>
      <c r="Y192" s="866"/>
      <c r="Z192" s="868"/>
      <c r="AA192" s="868"/>
      <c r="AB192" s="866"/>
      <c r="AC192" s="866"/>
      <c r="AD192" s="868"/>
      <c r="AE192" s="868"/>
    </row>
    <row r="193" spans="1:31" ht="17.25" customHeight="1" thickBot="1" x14ac:dyDescent="0.3">
      <c r="A193" s="453"/>
      <c r="B193" s="453"/>
      <c r="C193" s="328"/>
      <c r="D193" s="328"/>
      <c r="E193" s="328"/>
      <c r="F193" s="328"/>
      <c r="G193" s="328"/>
      <c r="H193" s="328"/>
      <c r="I193" s="328"/>
      <c r="J193" s="328"/>
      <c r="K193" s="443"/>
      <c r="L193" s="90"/>
      <c r="M193" s="90"/>
      <c r="N193" s="866"/>
      <c r="O193" s="866"/>
      <c r="P193" s="866"/>
      <c r="Q193" s="866"/>
      <c r="R193" s="866"/>
      <c r="S193" s="866"/>
      <c r="T193" s="866"/>
      <c r="U193" s="866"/>
      <c r="V193" s="866"/>
      <c r="W193" s="866"/>
      <c r="Y193" s="866"/>
      <c r="Z193" s="868"/>
      <c r="AA193" s="868"/>
      <c r="AB193" s="866"/>
      <c r="AC193" s="866"/>
      <c r="AD193" s="868"/>
      <c r="AE193" s="868"/>
    </row>
    <row r="194" spans="1:31" ht="15" thickTop="1" thickBot="1" x14ac:dyDescent="0.3">
      <c r="A194" s="319" t="s">
        <v>378</v>
      </c>
      <c r="B194" s="319"/>
      <c r="C194" s="320"/>
      <c r="D194" s="320"/>
      <c r="E194" s="459"/>
      <c r="F194" s="459"/>
      <c r="G194" s="321" t="s">
        <v>60</v>
      </c>
      <c r="H194" s="459"/>
      <c r="I194" s="320"/>
      <c r="J194" s="320"/>
      <c r="K194" s="311" t="s">
        <v>274</v>
      </c>
      <c r="L194" s="192"/>
      <c r="M194" s="192"/>
      <c r="N194" s="866"/>
      <c r="O194" s="866"/>
      <c r="P194" s="866"/>
      <c r="Q194" s="866"/>
      <c r="R194" s="866"/>
      <c r="S194" s="866"/>
      <c r="T194" s="866"/>
      <c r="U194" s="866"/>
      <c r="V194" s="866"/>
      <c r="W194" s="866"/>
      <c r="Y194" s="866"/>
      <c r="Z194" s="868"/>
      <c r="AA194" s="868"/>
      <c r="AB194" s="866"/>
      <c r="AC194" s="866"/>
      <c r="AD194" s="868"/>
      <c r="AE194" s="868"/>
    </row>
    <row r="195" spans="1:31" ht="14.4" thickTop="1" x14ac:dyDescent="0.25">
      <c r="A195" s="464" t="s">
        <v>206</v>
      </c>
      <c r="B195" s="464"/>
      <c r="C195" s="459"/>
      <c r="D195" s="459"/>
      <c r="E195" s="459"/>
      <c r="F195" s="459"/>
      <c r="G195" s="459"/>
      <c r="H195" s="459"/>
      <c r="I195" s="459"/>
      <c r="J195" s="459"/>
      <c r="K195" s="311"/>
      <c r="L195" s="192"/>
      <c r="M195" s="192"/>
      <c r="N195" s="866"/>
      <c r="O195" s="866"/>
      <c r="P195" s="866"/>
      <c r="Q195" s="866"/>
      <c r="R195" s="866"/>
      <c r="S195" s="866"/>
      <c r="T195" s="866"/>
      <c r="U195" s="866"/>
      <c r="V195" s="866"/>
      <c r="W195" s="866"/>
      <c r="Y195" s="866"/>
      <c r="Z195" s="868"/>
      <c r="AA195" s="868"/>
      <c r="AB195" s="866"/>
      <c r="AC195" s="866"/>
      <c r="AD195" s="868"/>
      <c r="AE195" s="868"/>
    </row>
    <row r="196" spans="1:31" ht="14.4" thickBot="1" x14ac:dyDescent="0.3">
      <c r="A196" s="465"/>
      <c r="B196" s="465"/>
      <c r="C196" s="465"/>
      <c r="D196" s="465"/>
      <c r="E196" s="465"/>
      <c r="F196" s="465"/>
      <c r="G196" s="465"/>
      <c r="H196" s="325"/>
      <c r="I196" s="325"/>
      <c r="J196" s="466"/>
      <c r="K196" s="466"/>
      <c r="L196" s="200"/>
      <c r="M196" s="200"/>
      <c r="N196" s="866"/>
      <c r="O196" s="866"/>
      <c r="P196" s="866"/>
      <c r="Q196" s="866"/>
      <c r="R196" s="866"/>
      <c r="S196" s="866"/>
      <c r="T196" s="866"/>
      <c r="U196" s="866"/>
      <c r="V196" s="866"/>
      <c r="W196" s="866"/>
      <c r="Y196" s="866"/>
      <c r="Z196" s="868"/>
      <c r="AA196" s="868"/>
      <c r="AB196" s="866"/>
      <c r="AC196" s="866"/>
      <c r="AD196" s="868"/>
      <c r="AE196" s="868"/>
    </row>
    <row r="197" spans="1:31" ht="15" thickTop="1" thickBot="1" x14ac:dyDescent="0.3">
      <c r="A197" s="319" t="s">
        <v>379</v>
      </c>
      <c r="B197" s="320"/>
      <c r="C197" s="320"/>
      <c r="D197" s="320"/>
      <c r="E197" s="320"/>
      <c r="F197" s="320"/>
      <c r="G197" s="320"/>
      <c r="H197" s="320"/>
      <c r="I197" s="321" t="s">
        <v>60</v>
      </c>
      <c r="J197" s="320"/>
      <c r="K197" s="311" t="s">
        <v>275</v>
      </c>
      <c r="L197" s="23"/>
      <c r="M197" s="23"/>
      <c r="N197" s="866"/>
      <c r="O197" s="866"/>
      <c r="P197" s="866"/>
      <c r="Q197" s="866"/>
      <c r="R197" s="866"/>
      <c r="S197" s="866"/>
      <c r="T197" s="866"/>
      <c r="U197" s="866"/>
      <c r="V197" s="866"/>
      <c r="W197" s="866"/>
      <c r="Y197" s="866"/>
      <c r="Z197" s="868"/>
      <c r="AA197" s="868"/>
      <c r="AB197" s="866"/>
      <c r="AC197" s="866"/>
      <c r="AD197" s="868"/>
      <c r="AE197" s="868"/>
    </row>
    <row r="198" spans="1:31" ht="15" thickTop="1" thickBot="1" x14ac:dyDescent="0.3">
      <c r="A198" s="319" t="s">
        <v>211</v>
      </c>
      <c r="B198" s="319"/>
      <c r="C198" s="320"/>
      <c r="D198" s="320"/>
      <c r="E198" s="320"/>
      <c r="F198" s="320"/>
      <c r="G198" s="320"/>
      <c r="H198" s="309"/>
      <c r="I198" s="320"/>
      <c r="J198" s="321" t="s">
        <v>59</v>
      </c>
      <c r="K198" s="320"/>
      <c r="L198" s="19"/>
      <c r="M198" s="19"/>
      <c r="N198" s="866"/>
      <c r="O198" s="866"/>
      <c r="P198" s="866"/>
      <c r="Q198" s="866"/>
      <c r="R198" s="866"/>
      <c r="S198" s="866"/>
      <c r="T198" s="866"/>
      <c r="U198" s="866"/>
      <c r="V198" s="866"/>
      <c r="W198" s="866"/>
      <c r="Y198" s="866"/>
      <c r="Z198" s="868"/>
      <c r="AA198" s="868"/>
      <c r="AB198" s="866"/>
      <c r="AC198" s="866"/>
      <c r="AD198" s="868"/>
      <c r="AE198" s="868"/>
    </row>
    <row r="199" spans="1:31" ht="15" thickTop="1" thickBot="1" x14ac:dyDescent="0.3">
      <c r="A199" s="322" t="s">
        <v>446</v>
      </c>
      <c r="B199" s="323"/>
      <c r="C199" s="323"/>
      <c r="D199" s="323"/>
      <c r="E199" s="323"/>
      <c r="F199" s="323"/>
      <c r="G199" s="323"/>
      <c r="H199" s="323"/>
      <c r="I199" s="322"/>
      <c r="J199" s="320"/>
      <c r="K199" s="320"/>
      <c r="L199" s="23"/>
      <c r="M199" s="23"/>
      <c r="N199" s="866"/>
      <c r="O199" s="866"/>
      <c r="P199" s="866"/>
      <c r="Q199" s="866"/>
      <c r="R199" s="866"/>
      <c r="S199" s="866"/>
      <c r="T199" s="866"/>
      <c r="U199" s="866"/>
      <c r="V199" s="866"/>
      <c r="W199" s="866"/>
      <c r="Y199" s="866"/>
      <c r="Z199" s="868"/>
      <c r="AA199" s="868"/>
      <c r="AB199" s="866"/>
      <c r="AC199" s="866"/>
      <c r="AD199" s="868"/>
      <c r="AE199" s="868"/>
    </row>
    <row r="200" spans="1:31" ht="14.4" hidden="1" thickBot="1" x14ac:dyDescent="0.3">
      <c r="A200" s="68"/>
      <c r="B200" s="68"/>
      <c r="C200" s="68"/>
      <c r="D200" s="68"/>
      <c r="E200" s="68"/>
      <c r="F200" s="68"/>
      <c r="G200" s="68"/>
      <c r="H200" s="68"/>
      <c r="I200" s="68"/>
      <c r="J200" s="130" t="s">
        <v>198</v>
      </c>
      <c r="K200" s="68"/>
      <c r="L200" s="23"/>
      <c r="M200" s="23"/>
      <c r="N200" s="866"/>
      <c r="O200" s="866"/>
      <c r="P200" s="866"/>
      <c r="Q200" s="866"/>
      <c r="R200" s="866"/>
      <c r="S200" s="866"/>
      <c r="T200" s="866"/>
      <c r="U200" s="866"/>
      <c r="V200" s="866"/>
      <c r="W200" s="866"/>
      <c r="Y200" s="866"/>
      <c r="Z200" s="868"/>
      <c r="AA200" s="868"/>
      <c r="AB200" s="866"/>
      <c r="AC200" s="866"/>
      <c r="AD200" s="868"/>
      <c r="AE200" s="868"/>
    </row>
    <row r="201" spans="1:31" ht="14.4" hidden="1" thickBot="1" x14ac:dyDescent="0.3">
      <c r="A201" s="68"/>
      <c r="B201" s="68"/>
      <c r="C201" s="68"/>
      <c r="D201" s="68"/>
      <c r="E201" s="68"/>
      <c r="F201" s="68"/>
      <c r="G201" s="68"/>
      <c r="H201" s="68"/>
      <c r="I201" s="68"/>
      <c r="J201" s="131">
        <v>0.69499999999999995</v>
      </c>
      <c r="K201" s="68"/>
      <c r="L201" s="23"/>
      <c r="M201" s="23"/>
      <c r="N201" s="866"/>
      <c r="O201" s="866"/>
      <c r="P201" s="866"/>
      <c r="Q201" s="866"/>
      <c r="R201" s="866"/>
      <c r="S201" s="866"/>
      <c r="T201" s="866"/>
      <c r="U201" s="866"/>
      <c r="V201" s="866"/>
      <c r="W201" s="866"/>
      <c r="Y201" s="866"/>
      <c r="Z201" s="868"/>
      <c r="AA201" s="868"/>
      <c r="AB201" s="866"/>
      <c r="AC201" s="866"/>
      <c r="AD201" s="868"/>
      <c r="AE201" s="868"/>
    </row>
    <row r="202" spans="1:31" ht="14.4" hidden="1" thickBot="1" x14ac:dyDescent="0.3">
      <c r="A202" s="68"/>
      <c r="B202" s="68"/>
      <c r="C202" s="68"/>
      <c r="D202" s="68"/>
      <c r="E202" s="68"/>
      <c r="F202" s="68"/>
      <c r="G202" s="68"/>
      <c r="H202" s="68"/>
      <c r="I202" s="68"/>
      <c r="J202" s="131">
        <v>0.34</v>
      </c>
      <c r="K202" s="68"/>
      <c r="L202" s="23"/>
      <c r="M202" s="23"/>
      <c r="N202" s="866"/>
      <c r="O202" s="866"/>
      <c r="P202" s="866"/>
      <c r="Q202" s="866"/>
      <c r="R202" s="866"/>
      <c r="S202" s="866"/>
      <c r="T202" s="866"/>
      <c r="U202" s="866"/>
      <c r="V202" s="866"/>
      <c r="W202" s="866"/>
      <c r="Y202" s="866"/>
      <c r="Z202" s="868"/>
      <c r="AA202" s="868"/>
      <c r="AB202" s="866"/>
      <c r="AC202" s="866"/>
      <c r="AD202" s="868"/>
      <c r="AE202" s="868"/>
    </row>
    <row r="203" spans="1:31" ht="14.4" hidden="1" thickBot="1" x14ac:dyDescent="0.3">
      <c r="A203" s="68"/>
      <c r="B203" s="68"/>
      <c r="C203" s="68"/>
      <c r="D203" s="68"/>
      <c r="E203" s="68"/>
      <c r="F203" s="68"/>
      <c r="G203" s="68"/>
      <c r="H203" s="68"/>
      <c r="I203" s="68"/>
      <c r="J203" s="131">
        <v>0.41</v>
      </c>
      <c r="K203" s="68"/>
      <c r="L203" s="23"/>
      <c r="M203" s="23"/>
      <c r="N203" s="866"/>
      <c r="O203" s="866"/>
      <c r="P203" s="866"/>
      <c r="Q203" s="866"/>
      <c r="R203" s="866"/>
      <c r="S203" s="866"/>
      <c r="T203" s="866"/>
      <c r="U203" s="866"/>
      <c r="V203" s="866"/>
      <c r="W203" s="866"/>
      <c r="Y203" s="866"/>
      <c r="Z203" s="868"/>
      <c r="AA203" s="868"/>
      <c r="AB203" s="866"/>
      <c r="AC203" s="866"/>
      <c r="AD203" s="868"/>
      <c r="AE203" s="868"/>
    </row>
    <row r="204" spans="1:31" ht="15" thickTop="1" thickBot="1" x14ac:dyDescent="0.3">
      <c r="A204" s="323"/>
      <c r="B204" s="323"/>
      <c r="C204" s="323"/>
      <c r="D204" s="323"/>
      <c r="E204" s="323"/>
      <c r="F204" s="323"/>
      <c r="G204" s="323"/>
      <c r="H204" s="323"/>
      <c r="I204" s="467" t="s">
        <v>203</v>
      </c>
      <c r="J204" s="468"/>
      <c r="K204" s="320"/>
      <c r="L204" s="23"/>
      <c r="M204" s="23"/>
      <c r="N204" s="866"/>
      <c r="O204" s="866"/>
      <c r="P204" s="866"/>
      <c r="Q204" s="866"/>
      <c r="R204" s="866"/>
      <c r="S204" s="866"/>
      <c r="T204" s="866"/>
      <c r="U204" s="866"/>
      <c r="V204" s="866"/>
      <c r="W204" s="866"/>
      <c r="Y204" s="866"/>
      <c r="Z204" s="868"/>
      <c r="AA204" s="868"/>
      <c r="AB204" s="866"/>
      <c r="AC204" s="866"/>
      <c r="AD204" s="868"/>
      <c r="AE204" s="868"/>
    </row>
    <row r="205" spans="1:31" ht="15" hidden="1" thickTop="1" thickBot="1" x14ac:dyDescent="0.3">
      <c r="A205" s="68"/>
      <c r="B205" s="68"/>
      <c r="C205" s="68"/>
      <c r="D205" s="68"/>
      <c r="E205" s="68"/>
      <c r="F205" s="68"/>
      <c r="G205" s="68"/>
      <c r="H205" s="68"/>
      <c r="I205" s="68"/>
      <c r="J205" s="130" t="s">
        <v>205</v>
      </c>
      <c r="K205" s="68"/>
      <c r="L205" s="23"/>
      <c r="M205" s="23"/>
      <c r="N205" s="866"/>
      <c r="O205" s="866"/>
      <c r="P205" s="866"/>
      <c r="Q205" s="866"/>
      <c r="R205" s="866"/>
      <c r="S205" s="866"/>
      <c r="T205" s="866"/>
      <c r="U205" s="866"/>
      <c r="V205" s="866"/>
      <c r="W205" s="866"/>
      <c r="Y205" s="866"/>
      <c r="Z205" s="868"/>
      <c r="AA205" s="868"/>
      <c r="AB205" s="866"/>
      <c r="AC205" s="866"/>
      <c r="AD205" s="868"/>
      <c r="AE205" s="868"/>
    </row>
    <row r="206" spans="1:31" ht="15" hidden="1" thickTop="1" thickBot="1" x14ac:dyDescent="0.3">
      <c r="A206" s="68"/>
      <c r="B206" s="68"/>
      <c r="C206" s="68"/>
      <c r="D206" s="68"/>
      <c r="E206" s="68"/>
      <c r="F206" s="68"/>
      <c r="G206" s="68"/>
      <c r="H206" s="68"/>
      <c r="I206" s="68"/>
      <c r="J206" s="131">
        <v>0.26</v>
      </c>
      <c r="K206" s="68"/>
      <c r="L206" s="23"/>
      <c r="M206" s="23"/>
      <c r="N206" s="866"/>
      <c r="O206" s="866"/>
      <c r="P206" s="866"/>
      <c r="Q206" s="866"/>
      <c r="R206" s="866"/>
      <c r="S206" s="866"/>
      <c r="T206" s="866"/>
      <c r="U206" s="866"/>
      <c r="V206" s="866"/>
      <c r="W206" s="866"/>
      <c r="Y206" s="866"/>
      <c r="Z206" s="868"/>
      <c r="AA206" s="868"/>
      <c r="AB206" s="866"/>
      <c r="AC206" s="866"/>
      <c r="AD206" s="868"/>
      <c r="AE206" s="868"/>
    </row>
    <row r="207" spans="1:31" ht="15" hidden="1" thickTop="1" thickBot="1" x14ac:dyDescent="0.3">
      <c r="A207" s="68"/>
      <c r="B207" s="68"/>
      <c r="C207" s="68"/>
      <c r="D207" s="68"/>
      <c r="E207" s="68"/>
      <c r="F207" s="68"/>
      <c r="G207" s="68"/>
      <c r="H207" s="68"/>
      <c r="I207" s="68"/>
      <c r="J207" s="131">
        <v>0.34</v>
      </c>
      <c r="K207" s="68"/>
      <c r="L207" s="23"/>
      <c r="M207" s="23"/>
      <c r="N207" s="866"/>
      <c r="O207" s="866"/>
      <c r="P207" s="866"/>
      <c r="Q207" s="866"/>
      <c r="R207" s="866"/>
      <c r="S207" s="866"/>
      <c r="T207" s="866"/>
      <c r="U207" s="866"/>
      <c r="V207" s="866"/>
      <c r="W207" s="866"/>
      <c r="Y207" s="866"/>
      <c r="Z207" s="868"/>
      <c r="AA207" s="868"/>
      <c r="AB207" s="866"/>
      <c r="AC207" s="866"/>
      <c r="AD207" s="868"/>
      <c r="AE207" s="868"/>
    </row>
    <row r="208" spans="1:31" ht="15" hidden="1" thickTop="1" thickBot="1" x14ac:dyDescent="0.3">
      <c r="A208" s="68"/>
      <c r="B208" s="68"/>
      <c r="C208" s="68"/>
      <c r="D208" s="68"/>
      <c r="E208" s="68"/>
      <c r="F208" s="68"/>
      <c r="G208" s="68"/>
      <c r="H208" s="68"/>
      <c r="I208" s="68"/>
      <c r="J208" s="131">
        <v>0.41</v>
      </c>
      <c r="K208" s="68"/>
      <c r="L208" s="23"/>
      <c r="M208" s="23"/>
      <c r="N208" s="866"/>
      <c r="O208" s="866"/>
      <c r="P208" s="866"/>
      <c r="Q208" s="866"/>
      <c r="R208" s="866"/>
      <c r="S208" s="866"/>
      <c r="T208" s="866"/>
      <c r="U208" s="866"/>
      <c r="V208" s="866"/>
      <c r="W208" s="866"/>
      <c r="Y208" s="866"/>
      <c r="Z208" s="868"/>
      <c r="AA208" s="868"/>
      <c r="AB208" s="866"/>
      <c r="AC208" s="866"/>
      <c r="AD208" s="868"/>
      <c r="AE208" s="868"/>
    </row>
    <row r="209" spans="1:78" ht="20.25" customHeight="1" thickTop="1" thickBot="1" x14ac:dyDescent="0.3">
      <c r="A209" s="323"/>
      <c r="B209" s="323"/>
      <c r="C209" s="323"/>
      <c r="D209" s="323"/>
      <c r="E209" s="323"/>
      <c r="F209" s="323"/>
      <c r="G209" s="323"/>
      <c r="H209" s="323"/>
      <c r="I209" s="467" t="s">
        <v>204</v>
      </c>
      <c r="J209" s="324"/>
      <c r="K209" s="320"/>
      <c r="L209" s="23"/>
      <c r="M209" s="23"/>
      <c r="N209" s="866"/>
      <c r="O209" s="866"/>
      <c r="P209" s="866"/>
      <c r="Q209" s="866"/>
      <c r="R209" s="866"/>
      <c r="S209" s="866"/>
      <c r="T209" s="866"/>
      <c r="U209" s="866"/>
      <c r="V209" s="866"/>
      <c r="W209" s="866"/>
      <c r="Y209" s="866"/>
      <c r="Z209" s="868"/>
      <c r="AA209" s="868"/>
      <c r="AB209" s="866"/>
      <c r="AC209" s="866"/>
      <c r="AD209" s="868"/>
      <c r="AE209" s="868"/>
    </row>
    <row r="210" spans="1:78" ht="14.4" thickTop="1" x14ac:dyDescent="0.25">
      <c r="A210" s="319" t="s">
        <v>207</v>
      </c>
      <c r="B210" s="320"/>
      <c r="C210" s="320"/>
      <c r="D210" s="320"/>
      <c r="E210" s="320"/>
      <c r="F210" s="320"/>
      <c r="G210" s="320"/>
      <c r="H210" s="320"/>
      <c r="I210" s="320"/>
      <c r="J210" s="320"/>
      <c r="K210" s="320"/>
      <c r="L210" s="23"/>
      <c r="M210" s="23"/>
      <c r="N210" s="866"/>
      <c r="O210" s="866"/>
      <c r="P210" s="866"/>
      <c r="Q210" s="866"/>
      <c r="R210" s="866"/>
      <c r="S210" s="866"/>
      <c r="T210" s="866"/>
      <c r="U210" s="866"/>
      <c r="V210" s="866"/>
      <c r="W210" s="866"/>
      <c r="Y210" s="866"/>
      <c r="Z210" s="868"/>
      <c r="AA210" s="868"/>
      <c r="AB210" s="866"/>
      <c r="AC210" s="866"/>
      <c r="AD210" s="868"/>
      <c r="AE210" s="868"/>
    </row>
    <row r="211" spans="1:78" x14ac:dyDescent="0.25">
      <c r="A211" s="319" t="s">
        <v>347</v>
      </c>
      <c r="B211" s="320"/>
      <c r="C211" s="320"/>
      <c r="D211" s="320"/>
      <c r="E211" s="320"/>
      <c r="F211" s="320"/>
      <c r="G211" s="320"/>
      <c r="H211" s="320"/>
      <c r="I211" s="320"/>
      <c r="J211" s="320"/>
      <c r="K211" s="320"/>
      <c r="L211" s="23"/>
      <c r="M211" s="23"/>
      <c r="N211" s="866"/>
      <c r="O211" s="866"/>
      <c r="P211" s="866"/>
      <c r="Q211" s="866"/>
      <c r="R211" s="866"/>
      <c r="S211" s="866"/>
      <c r="T211" s="866"/>
      <c r="U211" s="866"/>
      <c r="V211" s="866"/>
      <c r="W211" s="866"/>
      <c r="Y211" s="866"/>
      <c r="Z211" s="868"/>
      <c r="AA211" s="868"/>
      <c r="AB211" s="866"/>
      <c r="AC211" s="866"/>
      <c r="AD211" s="868"/>
      <c r="AE211" s="868"/>
    </row>
    <row r="212" spans="1:78" x14ac:dyDescent="0.25">
      <c r="A212" s="319" t="s">
        <v>348</v>
      </c>
      <c r="B212" s="320"/>
      <c r="C212" s="320"/>
      <c r="D212" s="320"/>
      <c r="E212" s="320"/>
      <c r="F212" s="320"/>
      <c r="G212" s="320"/>
      <c r="H212" s="320"/>
      <c r="I212" s="320"/>
      <c r="J212" s="320"/>
      <c r="K212" s="320"/>
      <c r="L212" s="23"/>
      <c r="M212" s="23"/>
      <c r="N212" s="866"/>
      <c r="O212" s="866"/>
      <c r="P212" s="866"/>
      <c r="Q212" s="866"/>
      <c r="R212" s="866"/>
      <c r="S212" s="866"/>
      <c r="T212" s="866"/>
      <c r="U212" s="866"/>
      <c r="V212" s="866"/>
      <c r="W212" s="866"/>
      <c r="Y212" s="866"/>
      <c r="Z212" s="868"/>
      <c r="AA212" s="868"/>
      <c r="AB212" s="866"/>
      <c r="AC212" s="866"/>
      <c r="AD212" s="868"/>
      <c r="AE212" s="868"/>
    </row>
    <row r="213" spans="1:78" x14ac:dyDescent="0.25">
      <c r="A213" s="319" t="s">
        <v>210</v>
      </c>
      <c r="B213" s="320"/>
      <c r="C213" s="320"/>
      <c r="D213" s="320"/>
      <c r="E213" s="320"/>
      <c r="F213" s="320"/>
      <c r="G213" s="320"/>
      <c r="H213" s="320"/>
      <c r="I213" s="320"/>
      <c r="J213" s="320"/>
      <c r="K213" s="320"/>
      <c r="L213" s="23"/>
      <c r="M213" s="23"/>
      <c r="N213" s="866"/>
      <c r="O213" s="866"/>
      <c r="P213" s="866"/>
      <c r="Q213" s="866"/>
      <c r="R213" s="866"/>
      <c r="S213" s="866"/>
      <c r="T213" s="866"/>
      <c r="U213" s="866"/>
      <c r="V213" s="866"/>
      <c r="W213" s="866"/>
      <c r="Y213" s="866"/>
      <c r="Z213" s="868"/>
      <c r="AA213" s="868"/>
      <c r="AB213" s="866"/>
      <c r="AC213" s="866"/>
      <c r="AD213" s="868"/>
      <c r="AE213" s="868"/>
    </row>
    <row r="214" spans="1:78" ht="5.25" customHeight="1" x14ac:dyDescent="0.25">
      <c r="A214" s="319"/>
      <c r="B214" s="320"/>
      <c r="C214" s="320"/>
      <c r="D214" s="320"/>
      <c r="E214" s="320"/>
      <c r="F214" s="320"/>
      <c r="G214" s="320"/>
      <c r="H214" s="320"/>
      <c r="I214" s="320"/>
      <c r="J214" s="320"/>
      <c r="K214" s="320"/>
      <c r="L214" s="23"/>
      <c r="M214" s="23"/>
      <c r="N214" s="866"/>
      <c r="O214" s="866"/>
      <c r="P214" s="866"/>
      <c r="Q214" s="866"/>
      <c r="R214" s="866"/>
      <c r="S214" s="866"/>
      <c r="T214" s="866"/>
      <c r="U214" s="866"/>
      <c r="V214" s="866"/>
      <c r="W214" s="866"/>
      <c r="Y214" s="866"/>
      <c r="Z214" s="868"/>
      <c r="AA214" s="868"/>
      <c r="AB214" s="866"/>
      <c r="AC214" s="866"/>
      <c r="AD214" s="868"/>
      <c r="AE214" s="868"/>
    </row>
    <row r="215" spans="1:78" x14ac:dyDescent="0.25">
      <c r="A215" s="319" t="s">
        <v>225</v>
      </c>
      <c r="B215" s="320"/>
      <c r="C215" s="320"/>
      <c r="D215" s="320"/>
      <c r="E215" s="320"/>
      <c r="F215" s="320"/>
      <c r="G215" s="320"/>
      <c r="H215" s="320"/>
      <c r="I215" s="320"/>
      <c r="J215" s="320"/>
      <c r="K215" s="320"/>
      <c r="L215" s="23"/>
      <c r="M215" s="23"/>
      <c r="N215" s="866"/>
      <c r="O215" s="866"/>
      <c r="P215" s="866"/>
      <c r="Q215" s="866"/>
      <c r="R215" s="866"/>
      <c r="S215" s="866"/>
      <c r="T215" s="866"/>
      <c r="U215" s="866"/>
      <c r="V215" s="866"/>
      <c r="W215" s="866"/>
      <c r="Y215" s="866"/>
      <c r="Z215" s="868"/>
      <c r="AA215" s="868"/>
      <c r="AB215" s="866"/>
      <c r="AC215" s="866"/>
      <c r="AD215" s="868"/>
      <c r="AE215" s="868"/>
    </row>
    <row r="216" spans="1:78" x14ac:dyDescent="0.25">
      <c r="A216" s="319" t="s">
        <v>176</v>
      </c>
      <c r="B216" s="320"/>
      <c r="C216" s="320"/>
      <c r="D216" s="320"/>
      <c r="E216" s="320"/>
      <c r="F216" s="320"/>
      <c r="G216" s="320"/>
      <c r="H216" s="320"/>
      <c r="I216" s="320"/>
      <c r="J216" s="320"/>
      <c r="K216" s="320"/>
      <c r="L216" s="23"/>
      <c r="M216" s="23"/>
      <c r="N216" s="866"/>
      <c r="O216" s="866"/>
      <c r="P216" s="866"/>
      <c r="Q216" s="866"/>
      <c r="R216" s="866"/>
      <c r="S216" s="866"/>
      <c r="T216" s="866"/>
      <c r="U216" s="866"/>
      <c r="V216" s="866"/>
      <c r="W216" s="866"/>
      <c r="Y216" s="866"/>
      <c r="Z216" s="868"/>
      <c r="AA216" s="868"/>
      <c r="AB216" s="866"/>
      <c r="AC216" s="866"/>
      <c r="AD216" s="868"/>
      <c r="AE216" s="868"/>
    </row>
    <row r="217" spans="1:78" x14ac:dyDescent="0.25">
      <c r="A217" s="319" t="s">
        <v>214</v>
      </c>
      <c r="B217" s="320"/>
      <c r="C217" s="320"/>
      <c r="D217" s="320"/>
      <c r="E217" s="320"/>
      <c r="F217" s="320"/>
      <c r="G217" s="320"/>
      <c r="H217" s="320"/>
      <c r="I217" s="320"/>
      <c r="J217" s="320"/>
      <c r="K217" s="320"/>
      <c r="L217" s="23"/>
      <c r="M217" s="23"/>
      <c r="N217" s="866"/>
      <c r="O217" s="866"/>
      <c r="P217" s="866"/>
      <c r="Q217" s="866"/>
      <c r="R217" s="866"/>
      <c r="S217" s="866"/>
      <c r="T217" s="866"/>
      <c r="U217" s="866"/>
      <c r="V217" s="866"/>
      <c r="W217" s="866"/>
      <c r="Y217" s="866"/>
      <c r="Z217" s="868"/>
      <c r="AA217" s="868"/>
      <c r="AB217" s="866"/>
      <c r="AC217" s="866"/>
      <c r="AD217" s="868"/>
      <c r="AE217" s="868"/>
    </row>
    <row r="218" spans="1:78" x14ac:dyDescent="0.25">
      <c r="A218" s="319" t="s">
        <v>177</v>
      </c>
      <c r="B218" s="320"/>
      <c r="C218" s="320"/>
      <c r="D218" s="320"/>
      <c r="E218" s="320"/>
      <c r="F218" s="320"/>
      <c r="G218" s="320"/>
      <c r="H218" s="320"/>
      <c r="I218" s="320"/>
      <c r="J218" s="320"/>
      <c r="K218" s="320"/>
      <c r="L218" s="23"/>
      <c r="M218" s="23"/>
      <c r="N218" s="866"/>
      <c r="O218" s="866"/>
      <c r="P218" s="866"/>
      <c r="Q218" s="866"/>
      <c r="R218" s="866"/>
      <c r="S218" s="866"/>
      <c r="T218" s="866"/>
      <c r="U218" s="866"/>
      <c r="V218" s="866"/>
      <c r="W218" s="866"/>
      <c r="Y218" s="866"/>
      <c r="Z218" s="868"/>
      <c r="AA218" s="868"/>
      <c r="AB218" s="866"/>
      <c r="AC218" s="866"/>
      <c r="AD218" s="868"/>
      <c r="AE218" s="868"/>
    </row>
    <row r="219" spans="1:78" x14ac:dyDescent="0.25">
      <c r="A219" s="319" t="s">
        <v>215</v>
      </c>
      <c r="B219" s="320"/>
      <c r="C219" s="320"/>
      <c r="D219" s="320"/>
      <c r="E219" s="320"/>
      <c r="F219" s="320"/>
      <c r="G219" s="320"/>
      <c r="H219" s="320"/>
      <c r="I219" s="320"/>
      <c r="J219" s="320"/>
      <c r="K219" s="320"/>
      <c r="L219" s="23"/>
      <c r="M219" s="23"/>
      <c r="N219" s="866"/>
      <c r="O219" s="866"/>
      <c r="P219" s="866"/>
      <c r="Q219" s="866"/>
      <c r="R219" s="866"/>
      <c r="S219" s="866"/>
      <c r="T219" s="866"/>
      <c r="U219" s="866"/>
      <c r="V219" s="866"/>
      <c r="W219" s="866"/>
      <c r="Y219" s="866"/>
      <c r="Z219" s="868"/>
      <c r="AA219" s="868"/>
      <c r="AB219" s="866"/>
      <c r="AC219" s="866"/>
      <c r="AD219" s="868"/>
      <c r="AE219" s="868"/>
    </row>
    <row r="220" spans="1:78" x14ac:dyDescent="0.25">
      <c r="A220" s="319" t="s">
        <v>349</v>
      </c>
      <c r="B220" s="320"/>
      <c r="C220" s="320"/>
      <c r="D220" s="320"/>
      <c r="E220" s="320"/>
      <c r="F220" s="320"/>
      <c r="G220" s="320"/>
      <c r="H220" s="320"/>
      <c r="I220" s="320"/>
      <c r="J220" s="320"/>
      <c r="K220" s="320"/>
      <c r="L220" s="23"/>
      <c r="M220" s="23"/>
      <c r="N220" s="866"/>
      <c r="O220" s="866"/>
      <c r="P220" s="866"/>
      <c r="Q220" s="866"/>
      <c r="R220" s="866"/>
      <c r="S220" s="866"/>
      <c r="T220" s="866"/>
      <c r="U220" s="866"/>
      <c r="V220" s="866"/>
      <c r="W220" s="866"/>
      <c r="Y220" s="866"/>
      <c r="Z220" s="868"/>
      <c r="AA220" s="868"/>
      <c r="AB220" s="866"/>
      <c r="AC220" s="866"/>
      <c r="AD220" s="868"/>
      <c r="AE220" s="868"/>
    </row>
    <row r="221" spans="1:78" x14ac:dyDescent="0.25">
      <c r="A221" s="319" t="s">
        <v>216</v>
      </c>
      <c r="B221" s="320"/>
      <c r="C221" s="320"/>
      <c r="D221" s="320"/>
      <c r="E221" s="320"/>
      <c r="F221" s="320"/>
      <c r="G221" s="320"/>
      <c r="H221" s="320"/>
      <c r="I221" s="320"/>
      <c r="J221" s="320"/>
      <c r="K221" s="320"/>
      <c r="L221" s="23"/>
      <c r="M221" s="23"/>
      <c r="N221" s="866"/>
      <c r="O221" s="866"/>
      <c r="P221" s="866"/>
      <c r="Q221" s="866"/>
      <c r="R221" s="866"/>
      <c r="S221" s="866"/>
      <c r="T221" s="866"/>
      <c r="U221" s="866"/>
      <c r="V221" s="866"/>
      <c r="W221" s="866"/>
      <c r="Y221" s="866"/>
      <c r="Z221" s="868"/>
      <c r="AA221" s="868"/>
      <c r="AB221" s="866"/>
      <c r="AC221" s="866"/>
      <c r="AD221" s="868"/>
      <c r="AE221" s="868"/>
    </row>
    <row r="222" spans="1:78" x14ac:dyDescent="0.25">
      <c r="A222" s="319" t="s">
        <v>217</v>
      </c>
      <c r="B222" s="320"/>
      <c r="C222" s="320"/>
      <c r="D222" s="320"/>
      <c r="E222" s="320"/>
      <c r="F222" s="320"/>
      <c r="G222" s="320"/>
      <c r="H222" s="320"/>
      <c r="I222" s="320"/>
      <c r="J222" s="320"/>
      <c r="K222" s="320"/>
      <c r="L222" s="23"/>
      <c r="M222" s="23"/>
      <c r="N222" s="866"/>
      <c r="O222" s="866"/>
      <c r="P222" s="866"/>
      <c r="Q222" s="866"/>
      <c r="R222" s="866"/>
      <c r="S222" s="866"/>
      <c r="T222" s="866"/>
      <c r="U222" s="866"/>
      <c r="V222" s="866"/>
      <c r="W222" s="866"/>
      <c r="Y222" s="866"/>
      <c r="Z222" s="868"/>
      <c r="AA222" s="868"/>
      <c r="AB222" s="866"/>
      <c r="AC222" s="866"/>
      <c r="AD222" s="868"/>
      <c r="AE222" s="868"/>
    </row>
    <row r="223" spans="1:78" x14ac:dyDescent="0.25">
      <c r="A223" s="436"/>
      <c r="B223" s="436"/>
      <c r="C223" s="436"/>
      <c r="D223" s="436"/>
      <c r="E223" s="436"/>
      <c r="F223" s="436"/>
      <c r="G223" s="436"/>
      <c r="H223" s="437"/>
      <c r="I223" s="436"/>
      <c r="J223" s="436"/>
      <c r="K223" s="325"/>
      <c r="L223" s="23"/>
      <c r="M223" s="23"/>
      <c r="N223" s="866"/>
      <c r="O223" s="866"/>
      <c r="P223" s="866"/>
      <c r="Q223" s="866"/>
      <c r="R223" s="866"/>
      <c r="S223" s="866"/>
      <c r="T223" s="866"/>
      <c r="U223" s="866"/>
      <c r="V223" s="866"/>
      <c r="W223" s="866"/>
      <c r="Y223" s="866"/>
      <c r="Z223" s="868"/>
      <c r="AA223" s="868"/>
      <c r="AB223" s="866"/>
      <c r="AC223" s="866"/>
      <c r="AD223" s="868"/>
      <c r="AE223" s="868"/>
    </row>
    <row r="224" spans="1:78" ht="25.5" customHeight="1" thickBot="1" x14ac:dyDescent="0.3">
      <c r="A224" s="626" t="s">
        <v>431</v>
      </c>
      <c r="B224" s="453"/>
      <c r="C224" s="328"/>
      <c r="D224" s="328"/>
      <c r="E224" s="328"/>
      <c r="F224" s="328"/>
      <c r="G224" s="328"/>
      <c r="H224" s="328"/>
      <c r="I224" s="328"/>
      <c r="J224" s="328"/>
      <c r="K224" s="443"/>
      <c r="L224" s="867"/>
      <c r="M224" s="867"/>
      <c r="W224" s="866"/>
      <c r="X224" s="868"/>
      <c r="Y224" s="868"/>
      <c r="Z224" s="866"/>
      <c r="AA224" s="866"/>
      <c r="AB224" s="868"/>
      <c r="AC224" s="868"/>
      <c r="AD224" s="867"/>
      <c r="AE224" s="867"/>
      <c r="AI224" s="126" t="s">
        <v>183</v>
      </c>
      <c r="AK224" s="125" t="e">
        <f>AK289/AM289</f>
        <v>#DIV/0!</v>
      </c>
      <c r="AL224" s="125" t="e">
        <f>AL289/AM289</f>
        <v>#DIV/0!</v>
      </c>
      <c r="AM224" s="154" t="e">
        <f>AK224+AL224</f>
        <v>#DIV/0!</v>
      </c>
      <c r="AN224" s="866"/>
      <c r="AO224" s="866"/>
      <c r="AP224" s="866"/>
      <c r="AQ224" s="866"/>
      <c r="AR224" s="866"/>
      <c r="AS224" s="866"/>
      <c r="AT224" s="866"/>
      <c r="AU224" s="866"/>
      <c r="AV224" s="866"/>
      <c r="AW224" s="866"/>
      <c r="AX224" s="866"/>
      <c r="AY224" s="866"/>
      <c r="AZ224" s="866"/>
      <c r="BA224" s="869"/>
      <c r="BB224" s="869"/>
      <c r="BC224" s="869"/>
      <c r="BD224" s="869"/>
      <c r="BE224" s="869"/>
      <c r="BF224" s="869"/>
      <c r="BG224" s="869"/>
      <c r="BH224" s="869"/>
      <c r="BI224" s="869"/>
      <c r="BJ224" s="869"/>
      <c r="BK224" s="869"/>
      <c r="BL224" s="869"/>
      <c r="BM224" s="869"/>
      <c r="BN224" s="869"/>
      <c r="BO224" s="869"/>
      <c r="BP224" s="869"/>
      <c r="BQ224" s="869"/>
      <c r="BR224" s="869"/>
      <c r="BS224" s="869"/>
      <c r="BT224" s="869"/>
      <c r="BU224" s="869"/>
      <c r="BV224" s="869"/>
      <c r="BW224" s="869"/>
      <c r="BX224" s="869"/>
      <c r="BY224" s="869"/>
      <c r="BZ224" s="869"/>
    </row>
    <row r="225" spans="1:78" ht="15" thickTop="1" thickBot="1" x14ac:dyDescent="0.3">
      <c r="A225" s="319" t="s">
        <v>438</v>
      </c>
      <c r="B225" s="319"/>
      <c r="C225" s="320"/>
      <c r="D225" s="320"/>
      <c r="E225" s="320"/>
      <c r="F225" s="320"/>
      <c r="G225" s="320"/>
      <c r="H225" s="320"/>
      <c r="I225" s="321" t="s">
        <v>59</v>
      </c>
      <c r="J225" s="320"/>
      <c r="K225" s="311" t="s">
        <v>444</v>
      </c>
      <c r="L225" s="190"/>
      <c r="M225" s="190"/>
      <c r="N225" s="866"/>
      <c r="O225" s="866"/>
      <c r="P225" s="866"/>
      <c r="Q225" s="866"/>
      <c r="R225" s="866"/>
      <c r="S225" s="866"/>
      <c r="T225" s="866"/>
      <c r="U225" s="866"/>
      <c r="V225" s="866"/>
      <c r="W225" s="866"/>
      <c r="Y225" s="866"/>
      <c r="Z225" s="868"/>
      <c r="AA225" s="868"/>
      <c r="AB225" s="866"/>
      <c r="AC225" s="866"/>
      <c r="AD225" s="868"/>
      <c r="AE225" s="868"/>
    </row>
    <row r="226" spans="1:78" ht="15" thickTop="1" thickBot="1" x14ac:dyDescent="0.3">
      <c r="A226" s="319" t="s">
        <v>318</v>
      </c>
      <c r="B226" s="319"/>
      <c r="C226" s="320"/>
      <c r="D226" s="320"/>
      <c r="E226" s="320"/>
      <c r="F226" s="320"/>
      <c r="G226" s="320"/>
      <c r="H226" s="320"/>
      <c r="I226" s="320"/>
      <c r="J226" s="449"/>
      <c r="K226" s="320"/>
      <c r="L226" s="23"/>
      <c r="M226" s="23"/>
      <c r="N226" s="866"/>
      <c r="O226" s="866"/>
      <c r="P226" s="866"/>
      <c r="Q226" s="866"/>
      <c r="R226" s="866"/>
      <c r="S226" s="866"/>
      <c r="T226" s="866"/>
      <c r="U226" s="866"/>
      <c r="V226" s="866"/>
      <c r="W226" s="866"/>
      <c r="Y226" s="866"/>
      <c r="Z226" s="868"/>
      <c r="AA226" s="868"/>
      <c r="AB226" s="866"/>
      <c r="AC226" s="866"/>
      <c r="AD226" s="868"/>
      <c r="AE226" s="868"/>
    </row>
    <row r="227" spans="1:78" s="56" customFormat="1" ht="15" thickTop="1" thickBot="1" x14ac:dyDescent="0.3">
      <c r="A227" s="450"/>
      <c r="B227" s="450"/>
      <c r="C227" s="325"/>
      <c r="D227" s="325"/>
      <c r="E227" s="325"/>
      <c r="F227" s="325"/>
      <c r="G227" s="325"/>
      <c r="H227" s="325"/>
      <c r="I227" s="325"/>
      <c r="J227" s="325"/>
      <c r="K227" s="451"/>
      <c r="L227" s="191"/>
      <c r="M227" s="191"/>
      <c r="N227" s="325"/>
      <c r="O227" s="325"/>
      <c r="P227" s="325"/>
      <c r="Q227" s="325"/>
      <c r="R227" s="325"/>
      <c r="S227" s="325"/>
      <c r="T227" s="325"/>
      <c r="U227" s="325"/>
      <c r="V227" s="325"/>
      <c r="W227" s="325"/>
      <c r="Y227" s="325"/>
      <c r="Z227" s="511"/>
      <c r="AA227" s="511"/>
      <c r="AB227" s="325"/>
      <c r="AC227" s="325"/>
      <c r="AD227" s="511"/>
      <c r="AE227" s="511"/>
    </row>
    <row r="228" spans="1:78" ht="16.5" customHeight="1" thickTop="1" thickBot="1" x14ac:dyDescent="0.3">
      <c r="A228" s="438" t="s">
        <v>381</v>
      </c>
      <c r="B228" s="438"/>
      <c r="C228" s="438"/>
      <c r="D228" s="438"/>
      <c r="E228" s="321" t="s">
        <v>60</v>
      </c>
      <c r="F228" s="438"/>
      <c r="G228" s="438"/>
      <c r="H228" s="438"/>
      <c r="I228" s="438"/>
      <c r="J228" s="438"/>
      <c r="K228" s="311" t="s">
        <v>114</v>
      </c>
      <c r="L228" s="192"/>
      <c r="M228" s="192"/>
      <c r="N228" s="866"/>
      <c r="O228" s="866"/>
      <c r="P228" s="866"/>
      <c r="Q228" s="866"/>
      <c r="R228" s="866"/>
      <c r="S228" s="866"/>
      <c r="T228" s="866"/>
      <c r="U228" s="866"/>
      <c r="V228" s="866"/>
      <c r="W228" s="866"/>
      <c r="Y228" s="866"/>
      <c r="Z228" s="868"/>
      <c r="AA228" s="868"/>
      <c r="AB228" s="866"/>
      <c r="AC228" s="866"/>
      <c r="AD228" s="868"/>
      <c r="AE228" s="868"/>
    </row>
    <row r="229" spans="1:78" ht="15" thickTop="1" thickBot="1" x14ac:dyDescent="0.3">
      <c r="A229" s="319" t="s">
        <v>319</v>
      </c>
      <c r="B229" s="319"/>
      <c r="C229" s="320"/>
      <c r="D229" s="320"/>
      <c r="E229" s="320"/>
      <c r="F229" s="320"/>
      <c r="G229" s="320"/>
      <c r="H229" s="320"/>
      <c r="I229" s="320"/>
      <c r="J229" s="320"/>
      <c r="K229" s="320"/>
      <c r="L229" s="23"/>
      <c r="M229" s="23"/>
      <c r="N229" s="866"/>
      <c r="O229" s="866"/>
      <c r="P229" s="866"/>
      <c r="Q229" s="866"/>
      <c r="R229" s="866"/>
      <c r="S229" s="866"/>
      <c r="T229" s="866"/>
      <c r="U229" s="866"/>
      <c r="V229" s="866"/>
      <c r="W229" s="866"/>
      <c r="Y229" s="866"/>
      <c r="Z229" s="868"/>
      <c r="AA229" s="868"/>
      <c r="AB229" s="866"/>
      <c r="AC229" s="866"/>
      <c r="AD229" s="868"/>
      <c r="AE229" s="868"/>
    </row>
    <row r="230" spans="1:78" ht="15" thickTop="1" thickBot="1" x14ac:dyDescent="0.3">
      <c r="A230" s="319"/>
      <c r="B230" s="319"/>
      <c r="C230" s="320"/>
      <c r="D230" s="320"/>
      <c r="E230" s="320"/>
      <c r="F230" s="320"/>
      <c r="G230" s="320"/>
      <c r="H230" s="320"/>
      <c r="I230" s="320"/>
      <c r="J230" s="320"/>
      <c r="K230" s="452"/>
      <c r="L230" s="191"/>
      <c r="M230" s="191"/>
      <c r="N230" s="866"/>
      <c r="O230" s="866"/>
      <c r="P230" s="866"/>
      <c r="Q230" s="866"/>
      <c r="R230" s="866"/>
      <c r="S230" s="866"/>
      <c r="T230" s="866"/>
      <c r="U230" s="866"/>
      <c r="V230" s="866"/>
      <c r="W230" s="866"/>
      <c r="Y230" s="866"/>
      <c r="Z230" s="868"/>
      <c r="AA230" s="868"/>
      <c r="AB230" s="866"/>
      <c r="AC230" s="866"/>
      <c r="AD230" s="868"/>
      <c r="AE230" s="868"/>
    </row>
    <row r="231" spans="1:78" ht="15" thickTop="1" thickBot="1" x14ac:dyDescent="0.3">
      <c r="A231" s="319"/>
      <c r="B231" s="319"/>
      <c r="C231" s="320"/>
      <c r="D231" s="320"/>
      <c r="E231" s="320"/>
      <c r="F231" s="320"/>
      <c r="G231" s="320"/>
      <c r="H231" s="320"/>
      <c r="I231" s="320"/>
      <c r="J231" s="320"/>
      <c r="K231" s="452"/>
      <c r="L231" s="191"/>
      <c r="M231" s="191"/>
      <c r="N231" s="866"/>
      <c r="O231" s="866"/>
      <c r="P231" s="866"/>
      <c r="Q231" s="866"/>
      <c r="R231" s="866"/>
      <c r="S231" s="866"/>
      <c r="T231" s="866"/>
      <c r="U231" s="866"/>
      <c r="V231" s="866"/>
      <c r="W231" s="866"/>
      <c r="Y231" s="866"/>
      <c r="Z231" s="868"/>
      <c r="AA231" s="868"/>
      <c r="AB231" s="866"/>
      <c r="AC231" s="866"/>
      <c r="AD231" s="868"/>
      <c r="AE231" s="868"/>
    </row>
    <row r="232" spans="1:78" ht="15" thickTop="1" thickBot="1" x14ac:dyDescent="0.3">
      <c r="A232" s="319"/>
      <c r="B232" s="319"/>
      <c r="C232" s="320"/>
      <c r="D232" s="320"/>
      <c r="E232" s="320"/>
      <c r="F232" s="320"/>
      <c r="G232" s="320"/>
      <c r="H232" s="320"/>
      <c r="I232" s="320"/>
      <c r="J232" s="320"/>
      <c r="K232" s="452"/>
      <c r="L232" s="191"/>
      <c r="M232" s="191"/>
      <c r="N232" s="866"/>
      <c r="O232" s="866"/>
      <c r="P232" s="866"/>
      <c r="Q232" s="866"/>
      <c r="R232" s="866"/>
      <c r="S232" s="866"/>
      <c r="T232" s="866"/>
      <c r="U232" s="866"/>
      <c r="V232" s="866"/>
      <c r="W232" s="866"/>
      <c r="Y232" s="866"/>
      <c r="Z232" s="868"/>
      <c r="AA232" s="868"/>
      <c r="AB232" s="866"/>
      <c r="AC232" s="866"/>
      <c r="AD232" s="868"/>
      <c r="AE232" s="868"/>
    </row>
    <row r="233" spans="1:78" ht="14.4" thickTop="1" x14ac:dyDescent="0.25">
      <c r="A233" s="450"/>
      <c r="B233" s="450"/>
      <c r="C233" s="325"/>
      <c r="D233" s="325"/>
      <c r="E233" s="325"/>
      <c r="F233" s="325"/>
      <c r="G233" s="325"/>
      <c r="H233" s="325"/>
      <c r="I233" s="325"/>
      <c r="J233" s="325"/>
      <c r="K233" s="451"/>
      <c r="L233" s="115"/>
      <c r="M233" s="115"/>
      <c r="N233" s="326"/>
      <c r="O233" s="866"/>
      <c r="P233" s="866"/>
      <c r="Q233" s="866"/>
      <c r="R233" s="866"/>
      <c r="S233" s="866"/>
      <c r="T233" s="866"/>
      <c r="U233" s="866"/>
      <c r="V233" s="866"/>
      <c r="W233" s="866"/>
      <c r="Y233" s="866"/>
      <c r="Z233" s="868"/>
      <c r="AA233" s="868"/>
      <c r="AB233" s="866"/>
      <c r="AC233" s="866"/>
      <c r="AD233" s="868"/>
      <c r="AE233" s="868"/>
    </row>
    <row r="234" spans="1:78" ht="25.5" customHeight="1" thickBot="1" x14ac:dyDescent="0.3">
      <c r="A234" s="626" t="s">
        <v>380</v>
      </c>
      <c r="B234" s="453"/>
      <c r="C234" s="328"/>
      <c r="D234" s="328"/>
      <c r="E234" s="328"/>
      <c r="F234" s="328"/>
      <c r="G234" s="328"/>
      <c r="H234" s="328"/>
      <c r="I234" s="328"/>
      <c r="J234" s="328"/>
      <c r="K234" s="443"/>
      <c r="L234" s="867"/>
      <c r="M234" s="867"/>
      <c r="W234" s="866"/>
      <c r="X234" s="868"/>
      <c r="Y234" s="868"/>
      <c r="Z234" s="866"/>
      <c r="AA234" s="866"/>
      <c r="AB234" s="868"/>
      <c r="AC234" s="868"/>
      <c r="AD234" s="867"/>
      <c r="AE234" s="867"/>
      <c r="AI234" s="126" t="s">
        <v>183</v>
      </c>
      <c r="AK234" s="125" t="e">
        <f>AK118/AM118</f>
        <v>#DIV/0!</v>
      </c>
      <c r="AL234" s="125" t="e">
        <f>AL118/AM118</f>
        <v>#DIV/0!</v>
      </c>
      <c r="AM234" s="154" t="e">
        <f>AK234+AL234</f>
        <v>#DIV/0!</v>
      </c>
      <c r="AN234" s="866"/>
      <c r="AO234" s="866"/>
      <c r="AP234" s="866"/>
      <c r="AQ234" s="866"/>
      <c r="AR234" s="866"/>
      <c r="AS234" s="866"/>
      <c r="AT234" s="866"/>
      <c r="AU234" s="866"/>
      <c r="AV234" s="866"/>
      <c r="AW234" s="866"/>
      <c r="AX234" s="866"/>
      <c r="AY234" s="866"/>
      <c r="AZ234" s="866"/>
      <c r="BA234" s="869"/>
      <c r="BB234" s="869"/>
      <c r="BC234" s="869"/>
      <c r="BD234" s="869"/>
      <c r="BE234" s="869"/>
      <c r="BF234" s="869"/>
      <c r="BG234" s="869"/>
      <c r="BH234" s="869"/>
      <c r="BI234" s="869"/>
      <c r="BJ234" s="869"/>
      <c r="BK234" s="869"/>
      <c r="BL234" s="869"/>
      <c r="BM234" s="869"/>
      <c r="BN234" s="869"/>
      <c r="BO234" s="869"/>
      <c r="BP234" s="869"/>
      <c r="BQ234" s="869"/>
      <c r="BR234" s="869"/>
      <c r="BS234" s="869"/>
      <c r="BT234" s="869"/>
      <c r="BU234" s="869"/>
      <c r="BV234" s="869"/>
      <c r="BW234" s="869"/>
      <c r="BX234" s="869"/>
      <c r="BY234" s="869"/>
      <c r="BZ234" s="869"/>
    </row>
    <row r="235" spans="1:78" ht="15" thickTop="1" thickBot="1" x14ac:dyDescent="0.3">
      <c r="A235" s="319" t="s">
        <v>384</v>
      </c>
      <c r="B235" s="319"/>
      <c r="C235" s="320"/>
      <c r="D235" s="320"/>
      <c r="E235" s="320"/>
      <c r="F235" s="320"/>
      <c r="G235" s="320"/>
      <c r="H235" s="309"/>
      <c r="I235" s="321" t="s">
        <v>59</v>
      </c>
      <c r="J235" s="320"/>
      <c r="K235" s="311" t="s">
        <v>52</v>
      </c>
      <c r="L235" s="23"/>
      <c r="M235" s="23"/>
      <c r="N235" s="866"/>
      <c r="O235" s="866"/>
      <c r="P235" s="866"/>
      <c r="Q235" s="866"/>
      <c r="R235" s="866"/>
      <c r="S235" s="866"/>
      <c r="T235" s="866"/>
      <c r="U235" s="866"/>
      <c r="V235" s="866"/>
      <c r="W235" s="866"/>
      <c r="Y235" s="866"/>
      <c r="Z235" s="868"/>
      <c r="AA235" s="868"/>
      <c r="AB235" s="866"/>
      <c r="AC235" s="866"/>
      <c r="AD235" s="868"/>
      <c r="AE235" s="868"/>
    </row>
    <row r="236" spans="1:78" ht="15" hidden="1" thickTop="1" thickBot="1" x14ac:dyDescent="0.3">
      <c r="A236" s="69"/>
      <c r="B236" s="69"/>
      <c r="C236" s="68"/>
      <c r="D236" s="68"/>
      <c r="E236" s="68"/>
      <c r="F236" s="68"/>
      <c r="G236" s="68"/>
      <c r="H236" s="97"/>
      <c r="I236" s="68"/>
      <c r="J236" s="130" t="s">
        <v>56</v>
      </c>
      <c r="K236" s="68"/>
      <c r="L236" s="23"/>
      <c r="M236" s="23"/>
      <c r="N236" s="866"/>
      <c r="O236" s="866"/>
      <c r="P236" s="866"/>
      <c r="Q236" s="866"/>
      <c r="R236" s="866"/>
      <c r="S236" s="866"/>
      <c r="T236" s="866"/>
      <c r="U236" s="866"/>
      <c r="V236" s="866"/>
      <c r="W236" s="866"/>
      <c r="Y236" s="866"/>
      <c r="Z236" s="868"/>
      <c r="AA236" s="868"/>
      <c r="AB236" s="866"/>
      <c r="AC236" s="866"/>
      <c r="AD236" s="868"/>
      <c r="AE236" s="868"/>
    </row>
    <row r="237" spans="1:78" ht="15" hidden="1" thickTop="1" thickBot="1" x14ac:dyDescent="0.3">
      <c r="A237" s="69"/>
      <c r="B237" s="69"/>
      <c r="C237" s="68"/>
      <c r="D237" s="68"/>
      <c r="E237" s="68"/>
      <c r="F237" s="68"/>
      <c r="G237" s="68"/>
      <c r="H237" s="97"/>
      <c r="I237" s="68"/>
      <c r="J237" s="131">
        <v>0</v>
      </c>
      <c r="K237" s="68"/>
      <c r="L237" s="23"/>
      <c r="M237" s="23"/>
      <c r="N237" s="866"/>
      <c r="O237" s="866"/>
      <c r="P237" s="866"/>
      <c r="Q237" s="866"/>
      <c r="R237" s="866"/>
      <c r="S237" s="866"/>
      <c r="T237" s="866"/>
      <c r="U237" s="866"/>
      <c r="V237" s="866"/>
      <c r="W237" s="866"/>
      <c r="Y237" s="866"/>
      <c r="Z237" s="868"/>
      <c r="AA237" s="868"/>
      <c r="AB237" s="866"/>
      <c r="AC237" s="866"/>
      <c r="AD237" s="868"/>
      <c r="AE237" s="868"/>
    </row>
    <row r="238" spans="1:78" ht="15" hidden="1" thickTop="1" thickBot="1" x14ac:dyDescent="0.3">
      <c r="A238" s="69"/>
      <c r="B238" s="69"/>
      <c r="C238" s="68"/>
      <c r="D238" s="68"/>
      <c r="E238" s="68"/>
      <c r="F238" s="68"/>
      <c r="G238" s="68"/>
      <c r="H238" s="97"/>
      <c r="I238" s="68"/>
      <c r="J238" s="131">
        <v>0.08</v>
      </c>
      <c r="K238" s="68"/>
      <c r="L238" s="23"/>
      <c r="M238" s="23"/>
      <c r="N238" s="866"/>
      <c r="O238" s="866"/>
      <c r="P238" s="866"/>
      <c r="Q238" s="866"/>
      <c r="R238" s="866"/>
      <c r="S238" s="866"/>
      <c r="T238" s="866"/>
      <c r="U238" s="866"/>
      <c r="V238" s="866"/>
      <c r="W238" s="866"/>
      <c r="Y238" s="866"/>
      <c r="Z238" s="868"/>
      <c r="AA238" s="868"/>
      <c r="AB238" s="866"/>
      <c r="AC238" s="866"/>
      <c r="AD238" s="868"/>
      <c r="AE238" s="868"/>
    </row>
    <row r="239" spans="1:78" ht="15" hidden="1" thickTop="1" thickBot="1" x14ac:dyDescent="0.3">
      <c r="A239" s="69"/>
      <c r="B239" s="69"/>
      <c r="C239" s="68"/>
      <c r="D239" s="68"/>
      <c r="E239" s="68"/>
      <c r="F239" s="68"/>
      <c r="G239" s="68"/>
      <c r="H239" s="97"/>
      <c r="I239" s="68"/>
      <c r="J239" s="131">
        <v>0.1</v>
      </c>
      <c r="K239" s="68"/>
      <c r="L239" s="23"/>
      <c r="M239" s="23"/>
      <c r="N239" s="866"/>
      <c r="O239" s="866"/>
      <c r="P239" s="866"/>
      <c r="Q239" s="866"/>
      <c r="R239" s="866"/>
      <c r="S239" s="866"/>
      <c r="T239" s="866"/>
      <c r="U239" s="866"/>
      <c r="V239" s="866"/>
      <c r="W239" s="866"/>
      <c r="Y239" s="866"/>
      <c r="Z239" s="868"/>
      <c r="AA239" s="868"/>
      <c r="AB239" s="866"/>
      <c r="AC239" s="866"/>
      <c r="AD239" s="868"/>
      <c r="AE239" s="868"/>
    </row>
    <row r="240" spans="1:78" ht="15" hidden="1" thickTop="1" thickBot="1" x14ac:dyDescent="0.3">
      <c r="A240" s="69"/>
      <c r="B240" s="69"/>
      <c r="C240" s="68"/>
      <c r="D240" s="68"/>
      <c r="E240" s="68"/>
      <c r="F240" s="68"/>
      <c r="G240" s="68"/>
      <c r="H240" s="97"/>
      <c r="I240" s="68"/>
      <c r="J240" s="131">
        <v>0.15</v>
      </c>
      <c r="K240" s="68"/>
      <c r="L240" s="23"/>
      <c r="M240" s="23"/>
      <c r="N240" s="866"/>
      <c r="O240" s="866"/>
      <c r="P240" s="866"/>
      <c r="Q240" s="866"/>
      <c r="R240" s="866"/>
      <c r="S240" s="866"/>
      <c r="T240" s="866"/>
      <c r="U240" s="866"/>
      <c r="V240" s="866"/>
      <c r="W240" s="866"/>
      <c r="Y240" s="866"/>
      <c r="Z240" s="868"/>
      <c r="AA240" s="868"/>
      <c r="AB240" s="866"/>
      <c r="AC240" s="866"/>
      <c r="AD240" s="868"/>
      <c r="AE240" s="868"/>
    </row>
    <row r="241" spans="1:31" ht="15" hidden="1" thickTop="1" thickBot="1" x14ac:dyDescent="0.3">
      <c r="A241" s="69"/>
      <c r="B241" s="69"/>
      <c r="C241" s="68"/>
      <c r="D241" s="68"/>
      <c r="E241" s="68"/>
      <c r="F241" s="68"/>
      <c r="G241" s="68"/>
      <c r="H241" s="97"/>
      <c r="I241" s="68"/>
      <c r="J241" s="131">
        <v>0.2</v>
      </c>
      <c r="K241" s="68"/>
      <c r="L241" s="23"/>
      <c r="M241" s="23"/>
      <c r="N241" s="866"/>
      <c r="O241" s="866"/>
      <c r="P241" s="866"/>
      <c r="Q241" s="866"/>
      <c r="R241" s="866"/>
      <c r="S241" s="866"/>
      <c r="T241" s="866"/>
      <c r="U241" s="866"/>
      <c r="V241" s="866"/>
      <c r="W241" s="866"/>
      <c r="Y241" s="866"/>
      <c r="Z241" s="868"/>
      <c r="AA241" s="868"/>
      <c r="AB241" s="866"/>
      <c r="AC241" s="866"/>
      <c r="AD241" s="868"/>
      <c r="AE241" s="868"/>
    </row>
    <row r="242" spans="1:31" ht="15" hidden="1" thickTop="1" thickBot="1" x14ac:dyDescent="0.3">
      <c r="A242" s="69"/>
      <c r="B242" s="69"/>
      <c r="C242" s="68"/>
      <c r="D242" s="68"/>
      <c r="E242" s="68"/>
      <c r="F242" s="68"/>
      <c r="G242" s="68"/>
      <c r="H242" s="97"/>
      <c r="I242" s="68"/>
      <c r="J242" s="131">
        <v>0.25</v>
      </c>
      <c r="K242" s="68"/>
      <c r="L242" s="23"/>
      <c r="M242" s="23"/>
      <c r="N242" s="866"/>
      <c r="O242" s="866"/>
      <c r="P242" s="866"/>
      <c r="Q242" s="866"/>
      <c r="R242" s="866"/>
      <c r="S242" s="866"/>
      <c r="T242" s="866"/>
      <c r="U242" s="866"/>
      <c r="V242" s="866"/>
      <c r="W242" s="866"/>
      <c r="Y242" s="866"/>
      <c r="Z242" s="868"/>
      <c r="AA242" s="868"/>
      <c r="AB242" s="866"/>
      <c r="AC242" s="866"/>
      <c r="AD242" s="868"/>
      <c r="AE242" s="868"/>
    </row>
    <row r="243" spans="1:31" ht="15" hidden="1" thickTop="1" thickBot="1" x14ac:dyDescent="0.3">
      <c r="A243" s="69"/>
      <c r="B243" s="69"/>
      <c r="C243" s="68"/>
      <c r="D243" s="68"/>
      <c r="E243" s="68"/>
      <c r="F243" s="68"/>
      <c r="G243" s="68"/>
      <c r="H243" s="97"/>
      <c r="I243" s="68"/>
      <c r="J243" s="131">
        <v>0.26</v>
      </c>
      <c r="K243" s="68"/>
      <c r="L243" s="23"/>
      <c r="M243" s="23"/>
      <c r="N243" s="866"/>
      <c r="O243" s="866"/>
      <c r="P243" s="866"/>
      <c r="Q243" s="866"/>
      <c r="R243" s="866"/>
      <c r="S243" s="866"/>
      <c r="T243" s="866"/>
      <c r="U243" s="866"/>
      <c r="V243" s="866"/>
      <c r="W243" s="866"/>
      <c r="Y243" s="866"/>
      <c r="Z243" s="868"/>
      <c r="AA243" s="868"/>
      <c r="AB243" s="866"/>
      <c r="AC243" s="866"/>
      <c r="AD243" s="868"/>
      <c r="AE243" s="868"/>
    </row>
    <row r="244" spans="1:31" ht="15" hidden="1" thickTop="1" thickBot="1" x14ac:dyDescent="0.3">
      <c r="A244" s="69"/>
      <c r="B244" s="69"/>
      <c r="C244" s="68"/>
      <c r="D244" s="68"/>
      <c r="E244" s="68"/>
      <c r="F244" s="68"/>
      <c r="G244" s="68"/>
      <c r="H244" s="97"/>
      <c r="I244" s="68"/>
      <c r="J244" s="131">
        <v>0.3</v>
      </c>
      <c r="K244" s="68"/>
      <c r="L244" s="23"/>
      <c r="M244" s="23"/>
      <c r="N244" s="866"/>
      <c r="O244" s="866"/>
      <c r="P244" s="866"/>
      <c r="Q244" s="866"/>
      <c r="R244" s="866"/>
      <c r="S244" s="866"/>
      <c r="T244" s="866"/>
      <c r="U244" s="866"/>
      <c r="V244" s="866"/>
      <c r="W244" s="866"/>
      <c r="Y244" s="866"/>
      <c r="Z244" s="868"/>
      <c r="AA244" s="868"/>
      <c r="AB244" s="866"/>
      <c r="AC244" s="866"/>
      <c r="AD244" s="868"/>
      <c r="AE244" s="868"/>
    </row>
    <row r="245" spans="1:31" ht="15" hidden="1" thickTop="1" thickBot="1" x14ac:dyDescent="0.3">
      <c r="A245" s="69"/>
      <c r="B245" s="69"/>
      <c r="C245" s="68"/>
      <c r="D245" s="68"/>
      <c r="E245" s="68"/>
      <c r="F245" s="68"/>
      <c r="G245" s="68"/>
      <c r="H245" s="97"/>
      <c r="I245" s="68"/>
      <c r="J245" s="131">
        <v>0.34</v>
      </c>
      <c r="K245" s="68"/>
      <c r="L245" s="23"/>
      <c r="M245" s="23"/>
      <c r="N245" s="866"/>
      <c r="O245" s="866"/>
      <c r="P245" s="866"/>
      <c r="Q245" s="866"/>
      <c r="R245" s="866"/>
      <c r="S245" s="866"/>
      <c r="T245" s="866"/>
      <c r="U245" s="866"/>
      <c r="V245" s="866"/>
      <c r="W245" s="866"/>
      <c r="Y245" s="866"/>
      <c r="Z245" s="868"/>
      <c r="AA245" s="868"/>
      <c r="AB245" s="866"/>
      <c r="AC245" s="866"/>
      <c r="AD245" s="868"/>
      <c r="AE245" s="868"/>
    </row>
    <row r="246" spans="1:31" ht="15" hidden="1" thickTop="1" thickBot="1" x14ac:dyDescent="0.3">
      <c r="A246" s="69"/>
      <c r="B246" s="69"/>
      <c r="C246" s="68"/>
      <c r="D246" s="68"/>
      <c r="E246" s="68"/>
      <c r="F246" s="68"/>
      <c r="G246" s="68"/>
      <c r="H246" s="97"/>
      <c r="I246" s="68"/>
      <c r="J246" s="131">
        <v>0.35</v>
      </c>
      <c r="K246" s="68"/>
      <c r="L246" s="23"/>
      <c r="M246" s="23"/>
      <c r="N246" s="866"/>
      <c r="O246" s="866"/>
      <c r="P246" s="866"/>
      <c r="Q246" s="866"/>
      <c r="R246" s="866"/>
      <c r="S246" s="866"/>
      <c r="T246" s="866"/>
      <c r="U246" s="866"/>
      <c r="V246" s="866"/>
      <c r="W246" s="866"/>
      <c r="Y246" s="866"/>
      <c r="Z246" s="868"/>
      <c r="AA246" s="868"/>
      <c r="AB246" s="866"/>
      <c r="AC246" s="866"/>
      <c r="AD246" s="868"/>
      <c r="AE246" s="868"/>
    </row>
    <row r="247" spans="1:31" ht="15" hidden="1" thickTop="1" thickBot="1" x14ac:dyDescent="0.3">
      <c r="A247" s="69"/>
      <c r="B247" s="69"/>
      <c r="C247" s="68"/>
      <c r="D247" s="68"/>
      <c r="E247" s="68"/>
      <c r="F247" s="68"/>
      <c r="G247" s="68"/>
      <c r="H247" s="97"/>
      <c r="I247" s="68"/>
      <c r="J247" s="131">
        <v>0.4</v>
      </c>
      <c r="K247" s="68"/>
      <c r="L247" s="23"/>
      <c r="M247" s="23"/>
      <c r="N247" s="866"/>
      <c r="O247" s="866"/>
      <c r="P247" s="866"/>
      <c r="Q247" s="866"/>
      <c r="R247" s="866"/>
      <c r="S247" s="866"/>
      <c r="T247" s="866"/>
      <c r="U247" s="866"/>
      <c r="V247" s="866"/>
      <c r="W247" s="866"/>
      <c r="Y247" s="866"/>
      <c r="Z247" s="868"/>
      <c r="AA247" s="868"/>
      <c r="AB247" s="866"/>
      <c r="AC247" s="866"/>
      <c r="AD247" s="868"/>
      <c r="AE247" s="868"/>
    </row>
    <row r="248" spans="1:31" ht="15" hidden="1" thickTop="1" thickBot="1" x14ac:dyDescent="0.3">
      <c r="A248" s="69"/>
      <c r="B248" s="69"/>
      <c r="C248" s="68"/>
      <c r="D248" s="68"/>
      <c r="E248" s="68"/>
      <c r="F248" s="68"/>
      <c r="G248" s="68"/>
      <c r="H248" s="97"/>
      <c r="I248" s="68"/>
      <c r="J248" s="131">
        <v>0.41</v>
      </c>
      <c r="K248" s="68"/>
      <c r="L248" s="23"/>
      <c r="M248" s="23"/>
      <c r="N248" s="866"/>
      <c r="O248" s="866"/>
      <c r="P248" s="866"/>
      <c r="Q248" s="866"/>
      <c r="R248" s="866"/>
      <c r="S248" s="866"/>
      <c r="T248" s="866"/>
      <c r="U248" s="866"/>
      <c r="V248" s="866"/>
      <c r="W248" s="866"/>
      <c r="Y248" s="866"/>
      <c r="Z248" s="868"/>
      <c r="AA248" s="868"/>
      <c r="AB248" s="866"/>
      <c r="AC248" s="866"/>
      <c r="AD248" s="868"/>
      <c r="AE248" s="868"/>
    </row>
    <row r="249" spans="1:31" ht="15" hidden="1" thickTop="1" thickBot="1" x14ac:dyDescent="0.3">
      <c r="A249" s="69"/>
      <c r="B249" s="69"/>
      <c r="C249" s="68"/>
      <c r="D249" s="68"/>
      <c r="E249" s="68"/>
      <c r="F249" s="68"/>
      <c r="G249" s="68"/>
      <c r="H249" s="97"/>
      <c r="I249" s="68"/>
      <c r="J249" s="132">
        <v>0.69499999999999995</v>
      </c>
      <c r="K249" s="68"/>
      <c r="L249" s="23"/>
      <c r="M249" s="23"/>
      <c r="N249" s="866"/>
      <c r="O249" s="866"/>
      <c r="P249" s="866"/>
      <c r="Q249" s="866"/>
      <c r="R249" s="866"/>
      <c r="S249" s="866"/>
      <c r="T249" s="866"/>
      <c r="U249" s="866"/>
      <c r="V249" s="866"/>
      <c r="W249" s="866"/>
      <c r="Y249" s="866"/>
      <c r="Z249" s="868"/>
      <c r="AA249" s="868"/>
      <c r="AB249" s="866"/>
      <c r="AC249" s="866"/>
      <c r="AD249" s="868"/>
      <c r="AE249" s="868"/>
    </row>
    <row r="250" spans="1:31" ht="20.25" customHeight="1" thickTop="1" thickBot="1" x14ac:dyDescent="0.3">
      <c r="A250" s="322" t="s">
        <v>123</v>
      </c>
      <c r="B250" s="322"/>
      <c r="C250" s="322"/>
      <c r="D250" s="322"/>
      <c r="E250" s="322"/>
      <c r="F250" s="322"/>
      <c r="G250" s="322"/>
      <c r="H250" s="323"/>
      <c r="I250" s="322"/>
      <c r="J250" s="324"/>
      <c r="K250" s="320"/>
      <c r="L250" s="23"/>
      <c r="M250" s="23"/>
      <c r="N250" s="866"/>
      <c r="O250" s="866"/>
      <c r="P250" s="866"/>
      <c r="Q250" s="866"/>
      <c r="R250" s="866"/>
      <c r="S250" s="866"/>
      <c r="T250" s="866"/>
      <c r="U250" s="866"/>
      <c r="V250" s="866"/>
      <c r="W250" s="866"/>
      <c r="Y250" s="866"/>
      <c r="Z250" s="868"/>
      <c r="AA250" s="868"/>
      <c r="AB250" s="866"/>
      <c r="AC250" s="866"/>
      <c r="AD250" s="868"/>
      <c r="AE250" s="868"/>
    </row>
    <row r="251" spans="1:31" ht="16.5" customHeight="1" thickTop="1" thickBot="1" x14ac:dyDescent="0.3">
      <c r="A251" s="436"/>
      <c r="B251" s="436"/>
      <c r="C251" s="436"/>
      <c r="D251" s="436"/>
      <c r="E251" s="436"/>
      <c r="F251" s="436"/>
      <c r="G251" s="436"/>
      <c r="H251" s="437"/>
      <c r="I251" s="436"/>
      <c r="J251" s="436"/>
      <c r="K251" s="325"/>
      <c r="L251" s="23"/>
      <c r="M251" s="23"/>
      <c r="N251" s="866"/>
      <c r="O251" s="866"/>
      <c r="P251" s="866"/>
      <c r="Q251" s="866"/>
      <c r="R251" s="866"/>
      <c r="S251" s="866"/>
      <c r="T251" s="866"/>
      <c r="U251" s="866"/>
      <c r="V251" s="866"/>
      <c r="W251" s="866"/>
      <c r="Y251" s="866"/>
      <c r="Z251" s="868"/>
      <c r="AA251" s="868"/>
      <c r="AB251" s="866"/>
      <c r="AC251" s="866"/>
      <c r="AD251" s="868"/>
      <c r="AE251" s="868"/>
    </row>
    <row r="252" spans="1:31" ht="16.5" customHeight="1" thickTop="1" thickBot="1" x14ac:dyDescent="0.3">
      <c r="A252" s="438" t="s">
        <v>382</v>
      </c>
      <c r="B252" s="438"/>
      <c r="C252" s="438"/>
      <c r="D252" s="438"/>
      <c r="E252" s="321" t="s">
        <v>60</v>
      </c>
      <c r="F252" s="438"/>
      <c r="G252" s="438"/>
      <c r="H252" s="439"/>
      <c r="I252" s="438"/>
      <c r="J252" s="438"/>
      <c r="K252" s="311" t="s">
        <v>269</v>
      </c>
      <c r="L252" s="90"/>
      <c r="M252" s="90"/>
      <c r="N252" s="866"/>
      <c r="O252" s="866"/>
      <c r="P252" s="866"/>
      <c r="Q252" s="866"/>
      <c r="R252" s="866"/>
      <c r="S252" s="866"/>
      <c r="T252" s="866"/>
      <c r="U252" s="866"/>
      <c r="V252" s="866"/>
      <c r="W252" s="866"/>
      <c r="Y252" s="866"/>
      <c r="Z252" s="868"/>
      <c r="AA252" s="868"/>
      <c r="AB252" s="866"/>
      <c r="AC252" s="866"/>
      <c r="AD252" s="868"/>
      <c r="AE252" s="868"/>
    </row>
    <row r="253" spans="1:31" ht="16.5" customHeight="1" thickTop="1" x14ac:dyDescent="0.25">
      <c r="A253" s="438" t="s">
        <v>213</v>
      </c>
      <c r="B253" s="438"/>
      <c r="C253" s="438"/>
      <c r="D253" s="438"/>
      <c r="E253" s="438"/>
      <c r="F253" s="438"/>
      <c r="G253" s="438"/>
      <c r="H253" s="439"/>
      <c r="I253" s="438"/>
      <c r="J253" s="438"/>
      <c r="K253" s="320"/>
      <c r="L253" s="23"/>
      <c r="M253" s="23"/>
      <c r="N253" s="866"/>
      <c r="O253" s="866"/>
      <c r="P253" s="866"/>
      <c r="Q253" s="866"/>
      <c r="R253" s="866"/>
      <c r="S253" s="866"/>
      <c r="T253" s="866"/>
      <c r="U253" s="866"/>
      <c r="V253" s="866"/>
      <c r="W253" s="866"/>
      <c r="Y253" s="866"/>
      <c r="Z253" s="868"/>
      <c r="AA253" s="868"/>
      <c r="AB253" s="866"/>
      <c r="AC253" s="866"/>
      <c r="AD253" s="868"/>
      <c r="AE253" s="868"/>
    </row>
    <row r="254" spans="1:31" ht="16.5" customHeight="1" x14ac:dyDescent="0.25">
      <c r="A254" s="438" t="s">
        <v>439</v>
      </c>
      <c r="B254" s="438"/>
      <c r="C254" s="438"/>
      <c r="D254" s="438"/>
      <c r="E254" s="438"/>
      <c r="F254" s="438"/>
      <c r="G254" s="438"/>
      <c r="H254" s="439"/>
      <c r="I254" s="438"/>
      <c r="J254" s="438"/>
      <c r="K254" s="320"/>
      <c r="L254" s="23"/>
      <c r="M254" s="23"/>
      <c r="N254" s="866"/>
      <c r="O254" s="866"/>
      <c r="P254" s="866"/>
      <c r="Q254" s="866"/>
      <c r="R254" s="866"/>
      <c r="S254" s="866"/>
      <c r="T254" s="866"/>
      <c r="U254" s="866"/>
      <c r="V254" s="866"/>
      <c r="W254" s="866"/>
      <c r="Y254" s="866"/>
      <c r="Z254" s="868"/>
      <c r="AA254" s="868"/>
      <c r="AB254" s="866"/>
      <c r="AC254" s="866"/>
      <c r="AD254" s="868"/>
      <c r="AE254" s="868"/>
    </row>
    <row r="255" spans="1:31" ht="16.5" customHeight="1" x14ac:dyDescent="0.25">
      <c r="A255" s="438" t="s">
        <v>440</v>
      </c>
      <c r="B255" s="438"/>
      <c r="C255" s="438"/>
      <c r="D255" s="438"/>
      <c r="E255" s="438"/>
      <c r="F255" s="438"/>
      <c r="G255" s="438"/>
      <c r="H255" s="439"/>
      <c r="I255" s="438"/>
      <c r="J255" s="438"/>
      <c r="K255" s="320"/>
      <c r="L255" s="23"/>
      <c r="M255" s="23"/>
      <c r="N255" s="866"/>
      <c r="O255" s="866"/>
      <c r="P255" s="866"/>
      <c r="Q255" s="866"/>
      <c r="R255" s="866"/>
      <c r="S255" s="866"/>
      <c r="T255" s="866"/>
      <c r="U255" s="866"/>
      <c r="V255" s="866"/>
      <c r="W255" s="866"/>
      <c r="Y255" s="866"/>
      <c r="Z255" s="868"/>
      <c r="AA255" s="868"/>
      <c r="AB255" s="866"/>
      <c r="AC255" s="866"/>
      <c r="AD255" s="868"/>
      <c r="AE255" s="868"/>
    </row>
    <row r="256" spans="1:31" ht="16.5" customHeight="1" x14ac:dyDescent="0.25">
      <c r="A256" s="438" t="s">
        <v>153</v>
      </c>
      <c r="B256" s="438"/>
      <c r="C256" s="438"/>
      <c r="D256" s="438"/>
      <c r="E256" s="438"/>
      <c r="F256" s="438"/>
      <c r="G256" s="438"/>
      <c r="H256" s="439"/>
      <c r="I256" s="438"/>
      <c r="J256" s="438"/>
      <c r="K256" s="320"/>
      <c r="L256" s="23"/>
      <c r="M256" s="23"/>
      <c r="N256" s="866"/>
      <c r="O256" s="866"/>
      <c r="P256" s="866"/>
      <c r="Q256" s="866"/>
      <c r="R256" s="866"/>
      <c r="S256" s="866"/>
      <c r="T256" s="866"/>
      <c r="U256" s="866"/>
      <c r="V256" s="866"/>
      <c r="W256" s="866"/>
      <c r="Y256" s="866"/>
      <c r="Z256" s="868"/>
      <c r="AA256" s="868"/>
      <c r="AB256" s="866"/>
      <c r="AC256" s="866"/>
      <c r="AD256" s="868"/>
      <c r="AE256" s="868"/>
    </row>
    <row r="257" spans="1:31" ht="16.5" customHeight="1" thickBot="1" x14ac:dyDescent="0.3">
      <c r="A257" s="436"/>
      <c r="B257" s="436"/>
      <c r="C257" s="436"/>
      <c r="D257" s="436"/>
      <c r="E257" s="436"/>
      <c r="F257" s="436"/>
      <c r="G257" s="436"/>
      <c r="H257" s="437"/>
      <c r="I257" s="436"/>
      <c r="J257" s="436"/>
      <c r="K257" s="325"/>
      <c r="L257" s="23"/>
      <c r="M257" s="23"/>
      <c r="N257" s="866"/>
      <c r="O257" s="866"/>
      <c r="P257" s="866"/>
      <c r="Q257" s="866"/>
      <c r="R257" s="866"/>
      <c r="S257" s="866"/>
      <c r="T257" s="866"/>
      <c r="U257" s="866"/>
      <c r="V257" s="866"/>
      <c r="W257" s="866"/>
      <c r="Y257" s="866"/>
      <c r="Z257" s="868"/>
      <c r="AA257" s="868"/>
      <c r="AB257" s="866"/>
      <c r="AC257" s="866"/>
      <c r="AD257" s="868"/>
      <c r="AE257" s="868"/>
    </row>
    <row r="258" spans="1:31" ht="16.5" customHeight="1" thickTop="1" thickBot="1" x14ac:dyDescent="0.3">
      <c r="A258" s="438" t="s">
        <v>383</v>
      </c>
      <c r="B258" s="438"/>
      <c r="C258" s="438"/>
      <c r="D258" s="438"/>
      <c r="E258" s="438"/>
      <c r="F258" s="438"/>
      <c r="G258" s="321" t="s">
        <v>60</v>
      </c>
      <c r="H258" s="439"/>
      <c r="I258" s="438"/>
      <c r="J258" s="438"/>
      <c r="K258" s="440" t="s">
        <v>149</v>
      </c>
      <c r="L258" s="187"/>
      <c r="M258" s="187"/>
      <c r="N258" s="866"/>
      <c r="O258" s="866"/>
      <c r="P258" s="866"/>
      <c r="Q258" s="866"/>
      <c r="R258" s="866"/>
      <c r="S258" s="866"/>
      <c r="T258" s="866"/>
      <c r="U258" s="866"/>
      <c r="V258" s="866"/>
      <c r="W258" s="866"/>
      <c r="Y258" s="866"/>
      <c r="Z258" s="868"/>
      <c r="AA258" s="868"/>
      <c r="AB258" s="866"/>
      <c r="AC258" s="866"/>
      <c r="AD258" s="868"/>
      <c r="AE258" s="868"/>
    </row>
    <row r="259" spans="1:31" ht="16.5" customHeight="1" thickTop="1" x14ac:dyDescent="0.25">
      <c r="A259" s="438" t="s">
        <v>437</v>
      </c>
      <c r="B259" s="438"/>
      <c r="C259" s="438"/>
      <c r="D259" s="438"/>
      <c r="E259" s="438"/>
      <c r="F259" s="438"/>
      <c r="G259" s="438"/>
      <c r="H259" s="439"/>
      <c r="I259" s="438"/>
      <c r="J259" s="438"/>
      <c r="K259" s="441" t="s">
        <v>150</v>
      </c>
      <c r="L259" s="187"/>
      <c r="M259" s="187"/>
      <c r="N259" s="866"/>
      <c r="O259" s="866"/>
      <c r="P259" s="866"/>
      <c r="Q259" s="866"/>
      <c r="R259" s="866"/>
      <c r="S259" s="866"/>
      <c r="T259" s="866"/>
      <c r="U259" s="866"/>
      <c r="V259" s="866"/>
      <c r="W259" s="866"/>
      <c r="Y259" s="866"/>
      <c r="Z259" s="868"/>
      <c r="AA259" s="868"/>
      <c r="AB259" s="866"/>
      <c r="AC259" s="866"/>
      <c r="AD259" s="868"/>
      <c r="AE259" s="868"/>
    </row>
    <row r="260" spans="1:31" ht="16.5" customHeight="1" x14ac:dyDescent="0.25">
      <c r="A260" s="438" t="s">
        <v>146</v>
      </c>
      <c r="B260" s="438"/>
      <c r="C260" s="438"/>
      <c r="D260" s="438"/>
      <c r="E260" s="438"/>
      <c r="F260" s="438"/>
      <c r="G260" s="438"/>
      <c r="H260" s="439"/>
      <c r="I260" s="438"/>
      <c r="J260" s="438"/>
      <c r="K260" s="320"/>
      <c r="L260" s="23"/>
      <c r="M260" s="23"/>
      <c r="N260" s="866"/>
      <c r="O260" s="866"/>
      <c r="P260" s="866"/>
      <c r="Q260" s="866"/>
      <c r="R260" s="866"/>
      <c r="S260" s="866"/>
      <c r="T260" s="866"/>
      <c r="U260" s="866"/>
      <c r="V260" s="866"/>
      <c r="W260" s="866"/>
      <c r="Y260" s="866"/>
      <c r="Z260" s="868"/>
      <c r="AA260" s="868"/>
      <c r="AB260" s="866"/>
      <c r="AC260" s="866"/>
      <c r="AD260" s="868"/>
      <c r="AE260" s="868"/>
    </row>
    <row r="261" spans="1:31" ht="16.5" customHeight="1" x14ac:dyDescent="0.25">
      <c r="A261" s="438" t="s">
        <v>435</v>
      </c>
      <c r="B261" s="438"/>
      <c r="C261" s="438"/>
      <c r="D261" s="438"/>
      <c r="E261" s="438"/>
      <c r="F261" s="438"/>
      <c r="G261" s="438"/>
      <c r="H261" s="439"/>
      <c r="I261" s="438"/>
      <c r="J261" s="438"/>
      <c r="K261" s="320"/>
      <c r="L261" s="23"/>
      <c r="M261" s="23"/>
      <c r="N261" s="866"/>
      <c r="O261" s="866"/>
      <c r="P261" s="866"/>
      <c r="Q261" s="866"/>
      <c r="R261" s="866"/>
      <c r="S261" s="866"/>
      <c r="T261" s="866"/>
      <c r="U261" s="866"/>
      <c r="V261" s="866"/>
      <c r="W261" s="866"/>
      <c r="Y261" s="866"/>
      <c r="Z261" s="868"/>
      <c r="AA261" s="868"/>
      <c r="AB261" s="866"/>
      <c r="AC261" s="866"/>
      <c r="AD261" s="868"/>
      <c r="AE261" s="868"/>
    </row>
    <row r="262" spans="1:31" ht="16.5" customHeight="1" x14ac:dyDescent="0.25">
      <c r="A262" s="438" t="s">
        <v>436</v>
      </c>
      <c r="B262" s="438"/>
      <c r="C262" s="438"/>
      <c r="D262" s="438"/>
      <c r="E262" s="438"/>
      <c r="F262" s="438"/>
      <c r="G262" s="438"/>
      <c r="H262" s="439"/>
      <c r="I262" s="438"/>
      <c r="J262" s="438"/>
      <c r="K262" s="320"/>
      <c r="L262" s="23"/>
      <c r="M262" s="23"/>
      <c r="N262" s="866"/>
      <c r="O262" s="866"/>
      <c r="P262" s="866"/>
      <c r="Q262" s="866"/>
      <c r="R262" s="866"/>
      <c r="S262" s="866"/>
      <c r="T262" s="866"/>
      <c r="U262" s="866"/>
      <c r="V262" s="866"/>
      <c r="W262" s="866"/>
      <c r="Y262" s="866"/>
      <c r="Z262" s="868"/>
      <c r="AA262" s="868"/>
      <c r="AB262" s="866"/>
      <c r="AC262" s="866"/>
      <c r="AD262" s="868"/>
      <c r="AE262" s="868"/>
    </row>
    <row r="263" spans="1:31" x14ac:dyDescent="0.25">
      <c r="A263" s="450"/>
      <c r="B263" s="450"/>
      <c r="C263" s="325"/>
      <c r="D263" s="325"/>
      <c r="E263" s="325"/>
      <c r="F263" s="325"/>
      <c r="G263" s="325"/>
      <c r="H263" s="325"/>
      <c r="I263" s="325"/>
      <c r="J263" s="325"/>
      <c r="K263" s="451"/>
      <c r="L263" s="191"/>
      <c r="M263" s="191"/>
      <c r="N263" s="866"/>
      <c r="O263" s="866"/>
      <c r="P263" s="866"/>
      <c r="Q263" s="866"/>
      <c r="R263" s="866"/>
      <c r="S263" s="866"/>
      <c r="T263" s="866"/>
      <c r="U263" s="866"/>
      <c r="V263" s="866"/>
      <c r="W263" s="866"/>
      <c r="Y263" s="866"/>
      <c r="Z263" s="868"/>
      <c r="AA263" s="868"/>
      <c r="AB263" s="866"/>
      <c r="AC263" s="866"/>
      <c r="AD263" s="868"/>
      <c r="AE263" s="868"/>
    </row>
    <row r="264" spans="1:31" x14ac:dyDescent="0.25">
      <c r="A264" s="860"/>
      <c r="B264" s="860"/>
      <c r="C264" s="861"/>
      <c r="D264" s="861"/>
      <c r="E264" s="861"/>
      <c r="F264" s="861"/>
      <c r="G264" s="861"/>
      <c r="H264" s="861"/>
      <c r="I264" s="861"/>
      <c r="J264" s="861"/>
      <c r="K264" s="861"/>
      <c r="L264" s="57"/>
      <c r="M264" s="57"/>
      <c r="N264" s="246"/>
      <c r="O264" s="246"/>
      <c r="P264" s="866"/>
      <c r="Q264" s="866"/>
      <c r="R264" s="866"/>
      <c r="S264" s="866"/>
      <c r="T264" s="866"/>
      <c r="U264" s="866"/>
      <c r="V264" s="866"/>
      <c r="W264" s="866"/>
      <c r="Y264" s="866"/>
      <c r="Z264" s="868"/>
      <c r="AA264" s="868"/>
      <c r="AB264" s="866"/>
      <c r="AC264" s="866"/>
      <c r="AD264" s="868"/>
      <c r="AE264" s="868"/>
    </row>
    <row r="265" spans="1:31" ht="14.4" x14ac:dyDescent="0.25">
      <c r="A265" s="897" t="s">
        <v>445</v>
      </c>
      <c r="B265" s="883"/>
      <c r="C265" s="884"/>
      <c r="D265" s="884"/>
      <c r="E265" s="884"/>
      <c r="F265" s="884"/>
      <c r="G265" s="884"/>
      <c r="H265" s="884"/>
      <c r="I265" s="884"/>
      <c r="J265" s="884"/>
      <c r="K265" s="884"/>
      <c r="L265" s="57"/>
      <c r="M265" s="57"/>
      <c r="N265" s="246"/>
      <c r="O265" s="246"/>
      <c r="P265" s="866"/>
      <c r="Q265" s="866"/>
      <c r="R265" s="866"/>
      <c r="S265" s="866"/>
      <c r="T265" s="866"/>
      <c r="U265" s="866"/>
      <c r="V265" s="866"/>
      <c r="W265" s="866"/>
      <c r="Y265" s="866"/>
      <c r="Z265" s="868"/>
      <c r="AA265" s="868"/>
      <c r="AB265" s="866"/>
      <c r="AC265" s="866"/>
      <c r="AD265" s="868"/>
      <c r="AE265" s="868"/>
    </row>
    <row r="266" spans="1:31" ht="14.4" thickBot="1" x14ac:dyDescent="0.3">
      <c r="A266" s="857"/>
      <c r="B266" s="858"/>
      <c r="C266" s="859"/>
      <c r="D266" s="859"/>
      <c r="E266" s="859"/>
      <c r="F266" s="859"/>
      <c r="G266" s="859"/>
      <c r="H266" s="859"/>
      <c r="I266" s="859"/>
      <c r="J266" s="859"/>
      <c r="K266" s="859"/>
      <c r="L266" s="63"/>
      <c r="M266" s="63"/>
      <c r="N266" s="866"/>
      <c r="O266" s="866"/>
      <c r="P266" s="866"/>
      <c r="Q266" s="866"/>
      <c r="R266" s="866"/>
      <c r="S266" s="866"/>
      <c r="T266" s="866"/>
      <c r="U266" s="866"/>
      <c r="V266" s="866"/>
      <c r="W266" s="866"/>
      <c r="X266" s="873"/>
      <c r="Y266" s="868"/>
      <c r="Z266" s="866"/>
      <c r="AA266" s="866"/>
      <c r="AB266" s="868"/>
      <c r="AC266" s="868"/>
      <c r="AD266" s="866"/>
      <c r="AE266" s="866"/>
    </row>
    <row r="267" spans="1:31" x14ac:dyDescent="0.25">
      <c r="A267" s="453"/>
      <c r="B267" s="328"/>
      <c r="C267" s="328"/>
      <c r="D267" s="328"/>
      <c r="E267" s="328"/>
      <c r="F267" s="328"/>
      <c r="G267" s="328"/>
      <c r="H267" s="328"/>
      <c r="I267" s="328"/>
      <c r="J267" s="328"/>
      <c r="K267" s="328"/>
      <c r="N267" s="326"/>
      <c r="O267" s="326"/>
      <c r="P267" s="866"/>
      <c r="Q267" s="866"/>
      <c r="R267" s="866"/>
      <c r="S267" s="866"/>
      <c r="T267" s="866"/>
      <c r="U267" s="866"/>
      <c r="V267" s="866"/>
      <c r="W267" s="866"/>
      <c r="Y267" s="866"/>
      <c r="Z267" s="868"/>
      <c r="AA267" s="868"/>
      <c r="AB267" s="866"/>
      <c r="AC267" s="866"/>
      <c r="AD267" s="868"/>
      <c r="AE267" s="868"/>
    </row>
    <row r="268" spans="1:31" hidden="1" x14ac:dyDescent="0.25">
      <c r="A268" s="16"/>
      <c r="N268" s="326"/>
      <c r="O268" s="326"/>
      <c r="P268" s="866"/>
      <c r="Q268" s="866"/>
      <c r="R268" s="866"/>
      <c r="S268" s="866"/>
      <c r="T268" s="866"/>
      <c r="U268" s="866"/>
      <c r="V268" s="866"/>
      <c r="W268" s="866"/>
      <c r="Y268" s="866"/>
      <c r="Z268" s="868"/>
      <c r="AA268" s="868"/>
      <c r="AB268" s="866"/>
      <c r="AC268" s="866"/>
      <c r="AD268" s="868"/>
      <c r="AE268" s="868"/>
    </row>
    <row r="269" spans="1:31" hidden="1" x14ac:dyDescent="0.25">
      <c r="A269" s="65"/>
      <c r="B269" s="65"/>
      <c r="C269" s="880"/>
      <c r="D269" s="880"/>
      <c r="E269" s="880"/>
      <c r="F269" s="880"/>
      <c r="G269" s="880"/>
      <c r="H269" s="880"/>
      <c r="I269" s="880"/>
      <c r="J269" s="880"/>
      <c r="K269" s="880"/>
      <c r="N269" s="326"/>
      <c r="O269" s="326"/>
      <c r="P269" s="866"/>
      <c r="Q269" s="866"/>
      <c r="R269" s="866"/>
      <c r="S269" s="866"/>
      <c r="T269" s="866"/>
      <c r="U269" s="866"/>
      <c r="V269" s="866"/>
      <c r="W269" s="866"/>
      <c r="Y269" s="866"/>
      <c r="Z269" s="868"/>
      <c r="AA269" s="868"/>
      <c r="AB269" s="866"/>
      <c r="AC269" s="866"/>
      <c r="AD269" s="868"/>
      <c r="AE269" s="868"/>
    </row>
    <row r="270" spans="1:31" hidden="1" x14ac:dyDescent="0.25">
      <c r="A270" s="77"/>
      <c r="B270" s="78"/>
      <c r="C270" s="880"/>
      <c r="D270" s="79" t="s">
        <v>64</v>
      </c>
      <c r="E270" s="880"/>
      <c r="F270" s="880"/>
      <c r="G270" s="880"/>
      <c r="H270" s="880"/>
      <c r="I270" s="80"/>
      <c r="J270" s="880"/>
      <c r="K270" s="81"/>
      <c r="L270" s="201"/>
      <c r="M270" s="201"/>
      <c r="N270" s="326"/>
      <c r="O270" s="326"/>
      <c r="P270" s="866"/>
      <c r="Q270" s="866"/>
      <c r="R270" s="866"/>
      <c r="S270" s="866"/>
      <c r="T270" s="866"/>
      <c r="U270" s="866"/>
      <c r="V270" s="866"/>
      <c r="W270" s="866"/>
      <c r="Y270" s="866"/>
      <c r="Z270" s="868"/>
      <c r="AA270" s="868"/>
      <c r="AB270" s="866"/>
      <c r="AC270" s="866"/>
      <c r="AD270" s="868"/>
      <c r="AE270" s="868"/>
    </row>
    <row r="271" spans="1:31" hidden="1" x14ac:dyDescent="0.25">
      <c r="A271" s="82"/>
      <c r="B271" s="83"/>
      <c r="C271" s="880"/>
      <c r="D271" s="84">
        <v>0</v>
      </c>
      <c r="E271" s="880"/>
      <c r="F271" s="880"/>
      <c r="G271" s="880"/>
      <c r="H271" s="880"/>
      <c r="I271" s="71"/>
      <c r="J271" s="880"/>
      <c r="K271" s="880"/>
      <c r="N271" s="326"/>
      <c r="O271" s="326"/>
      <c r="P271" s="866"/>
      <c r="Q271" s="866"/>
      <c r="R271" s="866"/>
      <c r="S271" s="866"/>
      <c r="T271" s="866"/>
      <c r="U271" s="866"/>
      <c r="V271" s="866"/>
      <c r="W271" s="866"/>
      <c r="Y271" s="866"/>
      <c r="Z271" s="868"/>
      <c r="AA271" s="868"/>
      <c r="AB271" s="866"/>
      <c r="AC271" s="866"/>
      <c r="AD271" s="868"/>
      <c r="AE271" s="868"/>
    </row>
    <row r="272" spans="1:31" hidden="1" x14ac:dyDescent="0.25">
      <c r="A272" s="85"/>
      <c r="B272" s="86"/>
      <c r="C272" s="880"/>
      <c r="D272" s="87">
        <v>25000</v>
      </c>
      <c r="E272" s="880"/>
      <c r="F272" s="880"/>
      <c r="G272" s="880"/>
      <c r="H272" s="880"/>
      <c r="I272" s="71"/>
      <c r="J272" s="880"/>
      <c r="K272" s="880"/>
      <c r="N272" s="326"/>
      <c r="O272" s="326"/>
      <c r="P272" s="866"/>
      <c r="Q272" s="866"/>
      <c r="R272" s="866"/>
      <c r="S272" s="866"/>
      <c r="T272" s="866"/>
      <c r="U272" s="866"/>
      <c r="V272" s="866"/>
      <c r="W272" s="866"/>
      <c r="Y272" s="866"/>
      <c r="Z272" s="868"/>
      <c r="AA272" s="868"/>
      <c r="AB272" s="866"/>
      <c r="AC272" s="866"/>
      <c r="AD272" s="868"/>
      <c r="AE272" s="868"/>
    </row>
    <row r="273" spans="1:31" hidden="1" x14ac:dyDescent="0.25">
      <c r="A273" s="880"/>
      <c r="B273" s="880"/>
      <c r="C273" s="880"/>
      <c r="D273" s="87">
        <v>50000</v>
      </c>
      <c r="E273" s="70"/>
      <c r="F273" s="70"/>
      <c r="G273" s="70"/>
      <c r="H273" s="880"/>
      <c r="I273" s="880"/>
      <c r="J273" s="880"/>
      <c r="K273" s="880"/>
      <c r="N273" s="326"/>
      <c r="O273" s="326"/>
      <c r="P273" s="866"/>
      <c r="Q273" s="866"/>
      <c r="R273" s="866"/>
      <c r="S273" s="866"/>
      <c r="T273" s="866"/>
      <c r="U273" s="866"/>
      <c r="V273" s="866"/>
      <c r="W273" s="866"/>
      <c r="Y273" s="866"/>
      <c r="Z273" s="868"/>
      <c r="AA273" s="868"/>
      <c r="AB273" s="866"/>
      <c r="AC273" s="866"/>
      <c r="AD273" s="868"/>
      <c r="AE273" s="868"/>
    </row>
    <row r="274" spans="1:31" hidden="1" x14ac:dyDescent="0.25">
      <c r="A274" s="72" t="s">
        <v>63</v>
      </c>
      <c r="B274" s="880"/>
      <c r="C274" s="880"/>
      <c r="D274" s="87">
        <v>75000</v>
      </c>
      <c r="E274" s="70"/>
      <c r="F274" s="70"/>
      <c r="G274" s="70"/>
      <c r="H274" s="880"/>
      <c r="I274" s="880"/>
      <c r="J274" s="880"/>
      <c r="K274" s="880"/>
      <c r="N274" s="326"/>
      <c r="O274" s="326"/>
      <c r="P274" s="866"/>
      <c r="Q274" s="866"/>
      <c r="R274" s="866"/>
      <c r="S274" s="866"/>
      <c r="T274" s="866"/>
      <c r="U274" s="866"/>
      <c r="V274" s="866"/>
      <c r="W274" s="866"/>
      <c r="Y274" s="866"/>
      <c r="Z274" s="868"/>
      <c r="AA274" s="868"/>
      <c r="AB274" s="866"/>
      <c r="AC274" s="866"/>
      <c r="AD274" s="868"/>
      <c r="AE274" s="868"/>
    </row>
    <row r="275" spans="1:31" hidden="1" x14ac:dyDescent="0.25">
      <c r="A275" s="881" t="s">
        <v>59</v>
      </c>
      <c r="B275" s="880"/>
      <c r="C275" s="880"/>
      <c r="D275" s="87">
        <v>100000</v>
      </c>
      <c r="E275" s="70"/>
      <c r="F275" s="70"/>
      <c r="G275" s="70"/>
      <c r="H275" s="880"/>
      <c r="I275" s="880"/>
      <c r="J275" s="880"/>
      <c r="K275" s="880"/>
      <c r="N275" s="326"/>
      <c r="O275" s="326"/>
      <c r="P275" s="866"/>
      <c r="Q275" s="866"/>
      <c r="R275" s="866"/>
      <c r="S275" s="866"/>
      <c r="T275" s="866"/>
      <c r="U275" s="866"/>
      <c r="V275" s="866"/>
      <c r="W275" s="866"/>
      <c r="Y275" s="866"/>
      <c r="Z275" s="868"/>
      <c r="AA275" s="868"/>
      <c r="AB275" s="866"/>
      <c r="AC275" s="866"/>
      <c r="AD275" s="868"/>
      <c r="AE275" s="868"/>
    </row>
    <row r="276" spans="1:31" hidden="1" x14ac:dyDescent="0.25">
      <c r="A276" s="881" t="s">
        <v>60</v>
      </c>
      <c r="B276" s="880"/>
      <c r="C276" s="880"/>
      <c r="D276" s="87">
        <v>125000</v>
      </c>
      <c r="E276" s="70"/>
      <c r="F276" s="70"/>
      <c r="G276" s="70"/>
      <c r="H276" s="880"/>
      <c r="I276" s="880"/>
      <c r="J276" s="880"/>
      <c r="K276" s="880"/>
      <c r="N276" s="326"/>
      <c r="O276" s="326"/>
      <c r="P276" s="866"/>
      <c r="Q276" s="866"/>
      <c r="R276" s="866"/>
      <c r="S276" s="866"/>
      <c r="T276" s="866"/>
      <c r="U276" s="866"/>
      <c r="V276" s="866"/>
      <c r="W276" s="866"/>
      <c r="Y276" s="866"/>
      <c r="Z276" s="868"/>
      <c r="AA276" s="868"/>
      <c r="AB276" s="866"/>
      <c r="AC276" s="866"/>
      <c r="AD276" s="868"/>
      <c r="AE276" s="868"/>
    </row>
    <row r="277" spans="1:31" hidden="1" x14ac:dyDescent="0.25">
      <c r="A277" s="880"/>
      <c r="B277" s="880"/>
      <c r="C277" s="880"/>
      <c r="D277" s="87">
        <v>150000</v>
      </c>
      <c r="E277" s="70"/>
      <c r="F277" s="70"/>
      <c r="G277" s="70"/>
      <c r="H277" s="880"/>
      <c r="I277" s="880"/>
      <c r="J277" s="880"/>
      <c r="K277" s="880"/>
      <c r="N277" s="326"/>
      <c r="O277" s="326"/>
      <c r="P277" s="866"/>
      <c r="Q277" s="866"/>
      <c r="R277" s="866"/>
      <c r="S277" s="866"/>
      <c r="T277" s="866"/>
      <c r="U277" s="866"/>
      <c r="V277" s="866"/>
      <c r="W277" s="866"/>
      <c r="Y277" s="866"/>
      <c r="Z277" s="868"/>
      <c r="AA277" s="868"/>
      <c r="AB277" s="866"/>
      <c r="AC277" s="866"/>
      <c r="AD277" s="868"/>
      <c r="AE277" s="868"/>
    </row>
    <row r="278" spans="1:31" hidden="1" x14ac:dyDescent="0.25">
      <c r="A278" s="880"/>
      <c r="B278" s="880"/>
      <c r="C278" s="880"/>
      <c r="D278" s="87">
        <v>175000</v>
      </c>
      <c r="E278" s="70"/>
      <c r="F278" s="70"/>
      <c r="G278" s="70"/>
      <c r="H278" s="880"/>
      <c r="I278" s="880"/>
      <c r="J278" s="880"/>
      <c r="K278" s="880"/>
      <c r="N278" s="326"/>
      <c r="O278" s="326"/>
      <c r="P278" s="866"/>
      <c r="Q278" s="866"/>
      <c r="R278" s="866"/>
      <c r="S278" s="866"/>
      <c r="T278" s="866"/>
      <c r="U278" s="866"/>
      <c r="V278" s="866"/>
      <c r="W278" s="866"/>
      <c r="Y278" s="866"/>
      <c r="Z278" s="868"/>
      <c r="AA278" s="868"/>
      <c r="AB278" s="866"/>
      <c r="AC278" s="866"/>
      <c r="AD278" s="868"/>
      <c r="AE278" s="868"/>
    </row>
    <row r="279" spans="1:31" hidden="1" x14ac:dyDescent="0.25">
      <c r="A279" s="880"/>
      <c r="B279" s="880"/>
      <c r="C279" s="880"/>
      <c r="D279" s="87">
        <v>200000</v>
      </c>
      <c r="E279" s="70"/>
      <c r="F279" s="70"/>
      <c r="G279" s="70"/>
      <c r="H279" s="880"/>
      <c r="I279" s="880"/>
      <c r="J279" s="880"/>
      <c r="K279" s="880"/>
      <c r="N279" s="326"/>
      <c r="O279" s="326"/>
      <c r="P279" s="866"/>
      <c r="Q279" s="866"/>
      <c r="R279" s="866"/>
      <c r="S279" s="866"/>
      <c r="T279" s="866"/>
      <c r="U279" s="866"/>
      <c r="V279" s="866"/>
      <c r="W279" s="866"/>
      <c r="Y279" s="866"/>
      <c r="Z279" s="868"/>
      <c r="AA279" s="868"/>
      <c r="AB279" s="866"/>
      <c r="AC279" s="866"/>
      <c r="AD279" s="868"/>
      <c r="AE279" s="868"/>
    </row>
    <row r="280" spans="1:31" hidden="1" x14ac:dyDescent="0.25">
      <c r="A280" s="880"/>
      <c r="B280" s="880"/>
      <c r="C280" s="880"/>
      <c r="D280" s="87">
        <v>225000</v>
      </c>
      <c r="E280" s="70"/>
      <c r="F280" s="70"/>
      <c r="G280" s="70"/>
      <c r="H280" s="880"/>
      <c r="I280" s="880"/>
      <c r="J280" s="880"/>
      <c r="K280" s="880"/>
      <c r="N280" s="326"/>
      <c r="O280" s="326"/>
      <c r="P280" s="866"/>
      <c r="Q280" s="866"/>
      <c r="R280" s="866"/>
      <c r="S280" s="866"/>
      <c r="T280" s="866"/>
      <c r="U280" s="866"/>
      <c r="V280" s="866"/>
      <c r="W280" s="866"/>
      <c r="Y280" s="866"/>
      <c r="Z280" s="868"/>
      <c r="AA280" s="868"/>
      <c r="AB280" s="866"/>
      <c r="AC280" s="866"/>
      <c r="AD280" s="868"/>
      <c r="AE280" s="868"/>
    </row>
    <row r="281" spans="1:31" hidden="1" x14ac:dyDescent="0.25">
      <c r="A281" s="880"/>
      <c r="B281" s="880"/>
      <c r="C281" s="880"/>
      <c r="D281" s="87">
        <v>250000</v>
      </c>
      <c r="E281" s="70"/>
      <c r="F281" s="70"/>
      <c r="G281" s="70"/>
      <c r="H281" s="880"/>
      <c r="I281" s="880"/>
      <c r="J281" s="880"/>
      <c r="K281" s="880"/>
      <c r="N281" s="326"/>
      <c r="O281" s="326"/>
      <c r="P281" s="866"/>
      <c r="Q281" s="866"/>
      <c r="R281" s="866"/>
      <c r="S281" s="866"/>
      <c r="T281" s="866"/>
      <c r="U281" s="866"/>
      <c r="V281" s="866"/>
      <c r="W281" s="866"/>
      <c r="Y281" s="866"/>
      <c r="Z281" s="868"/>
      <c r="AA281" s="868"/>
      <c r="AB281" s="866"/>
      <c r="AC281" s="866"/>
      <c r="AD281" s="868"/>
      <c r="AE281" s="868"/>
    </row>
    <row r="282" spans="1:31" hidden="1" x14ac:dyDescent="0.25">
      <c r="A282" s="880"/>
      <c r="B282" s="880"/>
      <c r="C282" s="880"/>
      <c r="D282" s="70"/>
      <c r="E282" s="70"/>
      <c r="F282" s="70"/>
      <c r="G282" s="70"/>
      <c r="H282" s="880"/>
      <c r="I282" s="880"/>
      <c r="J282" s="880"/>
      <c r="K282" s="880"/>
      <c r="N282" s="326"/>
      <c r="O282" s="326"/>
      <c r="P282" s="866"/>
      <c r="Q282" s="866"/>
      <c r="R282" s="866"/>
      <c r="S282" s="866"/>
      <c r="T282" s="866"/>
      <c r="U282" s="866"/>
      <c r="V282" s="866"/>
      <c r="W282" s="866"/>
      <c r="Y282" s="866"/>
      <c r="Z282" s="868"/>
      <c r="AA282" s="868"/>
      <c r="AB282" s="866"/>
      <c r="AC282" s="866"/>
      <c r="AD282" s="868"/>
      <c r="AE282" s="868"/>
    </row>
    <row r="283" spans="1:31" ht="15" hidden="1" thickTop="1" thickBot="1" x14ac:dyDescent="0.3">
      <c r="A283" s="1487" t="str">
        <f>SetUp!A4:B4</f>
        <v>1.  Is the source of the funding federal?</v>
      </c>
      <c r="B283" s="1487"/>
      <c r="C283" s="171" t="str">
        <f>SetUp!C4</f>
        <v>Yes</v>
      </c>
      <c r="D283" s="880"/>
      <c r="E283" s="880"/>
      <c r="F283" s="880"/>
      <c r="G283" s="880"/>
      <c r="H283" s="880"/>
      <c r="I283" s="880"/>
      <c r="J283" s="880"/>
      <c r="K283" s="880"/>
      <c r="N283" s="866"/>
      <c r="O283" s="866"/>
      <c r="P283" s="866"/>
      <c r="Q283" s="866"/>
      <c r="R283" s="866"/>
      <c r="S283" s="866"/>
      <c r="T283" s="866"/>
      <c r="U283" s="866"/>
      <c r="V283" s="866"/>
      <c r="W283" s="866"/>
      <c r="Y283" s="866"/>
      <c r="Z283" s="866"/>
      <c r="AA283" s="866"/>
      <c r="AB283" s="866"/>
      <c r="AC283" s="866"/>
      <c r="AD283" s="866"/>
      <c r="AE283" s="866"/>
    </row>
    <row r="284" spans="1:31" hidden="1" x14ac:dyDescent="0.25">
      <c r="A284" s="65"/>
      <c r="B284" s="65"/>
      <c r="C284" s="880"/>
      <c r="D284" s="880"/>
      <c r="E284" s="880"/>
      <c r="F284" s="880"/>
      <c r="G284" s="880"/>
      <c r="H284" s="880"/>
      <c r="I284" s="880"/>
      <c r="J284" s="880"/>
      <c r="K284" s="880"/>
      <c r="N284" s="866"/>
      <c r="O284" s="866"/>
      <c r="P284" s="866"/>
      <c r="Q284" s="866"/>
      <c r="R284" s="866"/>
      <c r="S284" s="866"/>
      <c r="T284" s="866"/>
      <c r="U284" s="866"/>
      <c r="V284" s="866"/>
      <c r="W284" s="866"/>
      <c r="Y284" s="866"/>
      <c r="Z284" s="866"/>
      <c r="AA284" s="866"/>
      <c r="AB284" s="866"/>
      <c r="AC284" s="866"/>
      <c r="AD284" s="866"/>
      <c r="AE284" s="866"/>
    </row>
    <row r="285" spans="1:31" ht="15" hidden="1" thickTop="1" thickBot="1" x14ac:dyDescent="0.3">
      <c r="A285" s="65" t="str">
        <f>Sample_Y1!A113</f>
        <v>1.  Is this a NIH modular budget?</v>
      </c>
      <c r="B285" s="65"/>
      <c r="C285" s="202" t="str">
        <f>Sample_Y1!C113</f>
        <v>Yes</v>
      </c>
      <c r="D285" s="880"/>
      <c r="E285" s="880"/>
      <c r="F285" s="880"/>
      <c r="G285" s="880"/>
      <c r="H285" s="880"/>
      <c r="I285" s="880"/>
      <c r="J285" s="880"/>
      <c r="K285" s="880"/>
      <c r="N285" s="866"/>
      <c r="O285" s="866"/>
      <c r="P285" s="866"/>
      <c r="Q285" s="866"/>
      <c r="R285" s="866"/>
      <c r="S285" s="866"/>
      <c r="T285" s="866"/>
      <c r="U285" s="866"/>
      <c r="V285" s="866"/>
      <c r="W285" s="866"/>
      <c r="Y285" s="866"/>
      <c r="Z285" s="866"/>
      <c r="AA285" s="866"/>
      <c r="AB285" s="866"/>
      <c r="AC285" s="866"/>
      <c r="AD285" s="866"/>
      <c r="AE285" s="866"/>
    </row>
    <row r="286" spans="1:31" hidden="1" x14ac:dyDescent="0.25">
      <c r="A286" s="65" t="str">
        <f>Sample_Y1!A114</f>
        <v xml:space="preserve">       If Yes, please choose a module from the drop down menu in the "NIH Modular Amount" box. Also choosing Yes will allow the form to calculate F&amp;A on the modular amount.</v>
      </c>
      <c r="B286" s="65"/>
      <c r="C286" s="65"/>
      <c r="D286" s="65"/>
      <c r="E286" s="65"/>
      <c r="F286" s="65"/>
      <c r="G286" s="65"/>
      <c r="H286" s="65"/>
      <c r="I286" s="65"/>
      <c r="J286" s="65"/>
      <c r="K286" s="65"/>
      <c r="N286" s="866"/>
      <c r="O286" s="866"/>
      <c r="P286" s="866"/>
      <c r="Q286" s="866"/>
      <c r="R286" s="866"/>
      <c r="S286" s="866"/>
      <c r="T286" s="866"/>
      <c r="U286" s="866"/>
      <c r="V286" s="866"/>
      <c r="W286" s="866"/>
      <c r="Y286" s="866"/>
      <c r="Z286" s="868"/>
      <c r="AA286" s="868"/>
      <c r="AB286" s="866"/>
      <c r="AC286" s="866"/>
      <c r="AD286" s="868"/>
      <c r="AE286" s="868"/>
    </row>
    <row r="287" spans="1:31" ht="15" x14ac:dyDescent="0.25">
      <c r="A287" s="479"/>
      <c r="B287" s="479"/>
      <c r="C287" s="480"/>
      <c r="D287" s="480"/>
      <c r="E287" s="480"/>
      <c r="F287" s="480"/>
      <c r="G287" s="480"/>
      <c r="H287" s="480"/>
      <c r="I287" s="866"/>
      <c r="J287" s="866"/>
      <c r="K287" s="866"/>
      <c r="N287" s="866"/>
      <c r="O287" s="866"/>
      <c r="P287" s="866"/>
      <c r="Q287" s="866"/>
      <c r="R287" s="866"/>
      <c r="S287" s="866"/>
      <c r="T287" s="866"/>
      <c r="U287" s="866"/>
      <c r="V287" s="866"/>
      <c r="W287" s="866"/>
      <c r="Y287" s="866"/>
      <c r="Z287" s="868"/>
      <c r="AA287" s="868"/>
      <c r="AB287" s="866"/>
      <c r="AC287" s="866"/>
      <c r="AD287" s="868"/>
      <c r="AE287" s="868"/>
    </row>
    <row r="288" spans="1:31" x14ac:dyDescent="0.25">
      <c r="A288" s="403"/>
      <c r="B288" s="481"/>
      <c r="C288" s="480"/>
      <c r="D288" s="480"/>
      <c r="E288" s="480"/>
      <c r="F288" s="480"/>
      <c r="G288" s="482"/>
      <c r="H288" s="480"/>
      <c r="I288" s="866"/>
      <c r="J288" s="866"/>
      <c r="K288" s="866"/>
      <c r="N288" s="866"/>
      <c r="O288" s="866"/>
      <c r="P288" s="866"/>
      <c r="Q288" s="866"/>
      <c r="R288" s="866"/>
      <c r="S288" s="866"/>
      <c r="T288" s="866"/>
      <c r="U288" s="866"/>
      <c r="V288" s="866"/>
      <c r="W288" s="866"/>
      <c r="Y288" s="866"/>
      <c r="Z288" s="868"/>
      <c r="AA288" s="868"/>
      <c r="AB288" s="866"/>
      <c r="AC288" s="866"/>
      <c r="AD288" s="868"/>
      <c r="AE288" s="868"/>
    </row>
    <row r="289" spans="1:31" x14ac:dyDescent="0.25">
      <c r="A289" s="403"/>
      <c r="B289" s="481"/>
      <c r="C289" s="480"/>
      <c r="D289" s="480"/>
      <c r="E289" s="480"/>
      <c r="F289" s="480"/>
      <c r="G289" s="481"/>
      <c r="H289" s="480"/>
      <c r="I289" s="866"/>
      <c r="J289" s="866"/>
      <c r="K289" s="866"/>
      <c r="N289" s="866"/>
      <c r="O289" s="866"/>
      <c r="P289" s="866"/>
      <c r="Q289" s="866"/>
      <c r="R289" s="866"/>
      <c r="S289" s="866"/>
      <c r="T289" s="866"/>
      <c r="U289" s="866"/>
      <c r="V289" s="866"/>
      <c r="W289" s="866"/>
      <c r="Y289" s="866"/>
      <c r="Z289" s="868"/>
      <c r="AA289" s="868"/>
      <c r="AB289" s="866"/>
      <c r="AC289" s="866"/>
      <c r="AD289" s="868"/>
      <c r="AE289" s="868"/>
    </row>
    <row r="290" spans="1:31" x14ac:dyDescent="0.25">
      <c r="A290" s="403"/>
      <c r="B290" s="481"/>
      <c r="C290" s="480"/>
      <c r="D290" s="480"/>
      <c r="E290" s="480"/>
      <c r="F290" s="480"/>
      <c r="G290" s="482"/>
      <c r="H290" s="480"/>
      <c r="I290" s="866"/>
      <c r="J290" s="866"/>
      <c r="K290" s="866"/>
      <c r="N290" s="866"/>
      <c r="O290" s="866"/>
      <c r="P290" s="866"/>
      <c r="Q290" s="866"/>
      <c r="R290" s="866"/>
      <c r="S290" s="866"/>
      <c r="T290" s="866"/>
      <c r="U290" s="866"/>
      <c r="V290" s="866"/>
      <c r="W290" s="866"/>
      <c r="Y290" s="866"/>
      <c r="Z290" s="868"/>
      <c r="AA290" s="868"/>
      <c r="AB290" s="866"/>
      <c r="AC290" s="866"/>
      <c r="AD290" s="868"/>
      <c r="AE290" s="868"/>
    </row>
    <row r="291" spans="1:31" x14ac:dyDescent="0.25">
      <c r="A291" s="481"/>
      <c r="B291" s="481"/>
      <c r="C291" s="480"/>
      <c r="D291" s="480"/>
      <c r="E291" s="480"/>
      <c r="F291" s="480"/>
      <c r="G291" s="483"/>
      <c r="H291" s="480"/>
      <c r="I291" s="866"/>
      <c r="J291" s="866"/>
      <c r="K291" s="866"/>
      <c r="N291" s="866"/>
      <c r="O291" s="866"/>
      <c r="P291" s="866"/>
      <c r="Q291" s="866"/>
      <c r="R291" s="866"/>
      <c r="S291" s="866"/>
      <c r="T291" s="866"/>
      <c r="U291" s="866"/>
      <c r="V291" s="866"/>
      <c r="W291" s="866"/>
      <c r="Y291" s="866"/>
      <c r="Z291" s="868"/>
      <c r="AA291" s="868"/>
      <c r="AB291" s="866"/>
      <c r="AC291" s="866"/>
      <c r="AD291" s="868"/>
      <c r="AE291" s="868"/>
    </row>
    <row r="292" spans="1:31" x14ac:dyDescent="0.25">
      <c r="A292" s="403"/>
      <c r="B292" s="481"/>
      <c r="C292" s="480"/>
      <c r="D292" s="480"/>
      <c r="E292" s="480"/>
      <c r="F292" s="480"/>
      <c r="G292" s="480"/>
      <c r="H292" s="480"/>
      <c r="I292" s="866"/>
      <c r="J292" s="866"/>
      <c r="K292" s="866"/>
      <c r="N292" s="866"/>
      <c r="O292" s="866"/>
      <c r="P292" s="866"/>
      <c r="Q292" s="866"/>
      <c r="R292" s="866"/>
      <c r="S292" s="866"/>
      <c r="T292" s="866"/>
      <c r="U292" s="866"/>
      <c r="V292" s="866"/>
      <c r="W292" s="866"/>
      <c r="Y292" s="866"/>
      <c r="Z292" s="868"/>
      <c r="AA292" s="868"/>
      <c r="AB292" s="866"/>
      <c r="AC292" s="866"/>
      <c r="AD292" s="868"/>
      <c r="AE292" s="868"/>
    </row>
    <row r="293" spans="1:31" x14ac:dyDescent="0.25">
      <c r="A293" s="403"/>
      <c r="B293" s="481"/>
      <c r="C293" s="480"/>
      <c r="D293" s="480"/>
      <c r="E293" s="480"/>
      <c r="F293" s="480"/>
      <c r="G293" s="482"/>
      <c r="H293" s="480"/>
      <c r="I293" s="866"/>
      <c r="J293" s="866"/>
      <c r="K293" s="866"/>
      <c r="N293" s="866"/>
      <c r="O293" s="866"/>
      <c r="P293" s="866"/>
      <c r="Q293" s="866"/>
      <c r="R293" s="866"/>
      <c r="S293" s="866"/>
      <c r="T293" s="866"/>
      <c r="U293" s="866"/>
      <c r="V293" s="866"/>
      <c r="W293" s="866"/>
      <c r="Y293" s="866"/>
      <c r="Z293" s="868"/>
      <c r="AA293" s="868"/>
      <c r="AB293" s="866"/>
      <c r="AC293" s="866"/>
      <c r="AD293" s="868"/>
      <c r="AE293" s="868"/>
    </row>
    <row r="294" spans="1:31" x14ac:dyDescent="0.25">
      <c r="A294" s="403"/>
      <c r="B294" s="481"/>
      <c r="C294" s="480"/>
      <c r="D294" s="480"/>
      <c r="E294" s="480"/>
      <c r="F294" s="480"/>
      <c r="G294" s="481"/>
      <c r="H294" s="480"/>
      <c r="I294" s="866"/>
      <c r="J294" s="866"/>
      <c r="K294" s="866"/>
      <c r="N294" s="866"/>
      <c r="O294" s="866"/>
      <c r="P294" s="866"/>
      <c r="Q294" s="866"/>
      <c r="R294" s="866"/>
      <c r="S294" s="866"/>
      <c r="T294" s="866"/>
      <c r="U294" s="866"/>
      <c r="V294" s="866"/>
      <c r="W294" s="866"/>
      <c r="Y294" s="866"/>
      <c r="Z294" s="868"/>
      <c r="AA294" s="868"/>
      <c r="AB294" s="866"/>
      <c r="AC294" s="866"/>
      <c r="AD294" s="868"/>
      <c r="AE294" s="868"/>
    </row>
    <row r="295" spans="1:31" x14ac:dyDescent="0.25">
      <c r="A295" s="403"/>
      <c r="B295" s="481"/>
      <c r="C295" s="480"/>
      <c r="D295" s="480"/>
      <c r="E295" s="480"/>
      <c r="F295" s="480"/>
      <c r="G295" s="482"/>
      <c r="H295" s="483"/>
      <c r="I295" s="866"/>
      <c r="J295" s="866"/>
      <c r="K295" s="866"/>
      <c r="N295" s="866"/>
      <c r="O295" s="866"/>
      <c r="P295" s="866"/>
      <c r="Q295" s="866"/>
      <c r="R295" s="866"/>
      <c r="S295" s="866"/>
      <c r="T295" s="866"/>
      <c r="U295" s="866"/>
      <c r="V295" s="866"/>
      <c r="W295" s="866"/>
      <c r="Y295" s="866"/>
      <c r="Z295" s="868"/>
      <c r="AA295" s="868"/>
      <c r="AB295" s="866"/>
      <c r="AC295" s="866"/>
      <c r="AD295" s="868"/>
      <c r="AE295" s="868"/>
    </row>
    <row r="296" spans="1:31" x14ac:dyDescent="0.25">
      <c r="A296" s="481"/>
      <c r="B296" s="481"/>
      <c r="C296" s="480"/>
      <c r="D296" s="480"/>
      <c r="E296" s="480"/>
      <c r="F296" s="480"/>
      <c r="G296" s="483"/>
      <c r="H296" s="480"/>
      <c r="I296" s="866"/>
      <c r="J296" s="866"/>
      <c r="K296" s="866"/>
      <c r="N296" s="866"/>
      <c r="O296" s="866"/>
      <c r="P296" s="866"/>
      <c r="Q296" s="866"/>
      <c r="R296" s="866"/>
      <c r="S296" s="866"/>
      <c r="T296" s="866"/>
      <c r="U296" s="866"/>
      <c r="V296" s="866"/>
      <c r="W296" s="866"/>
      <c r="Y296" s="866"/>
      <c r="Z296" s="868"/>
      <c r="AA296" s="868"/>
      <c r="AB296" s="866"/>
      <c r="AC296" s="866"/>
      <c r="AD296" s="868"/>
      <c r="AE296" s="868"/>
    </row>
    <row r="297" spans="1:31" x14ac:dyDescent="0.25">
      <c r="A297" s="403"/>
      <c r="B297" s="481"/>
      <c r="C297" s="480"/>
      <c r="D297" s="480"/>
      <c r="E297" s="480"/>
      <c r="F297" s="480"/>
      <c r="G297" s="480"/>
      <c r="H297" s="484"/>
      <c r="I297" s="866"/>
      <c r="J297" s="866"/>
      <c r="K297" s="866"/>
      <c r="N297" s="866"/>
      <c r="O297" s="866"/>
      <c r="P297" s="866"/>
      <c r="Q297" s="866"/>
      <c r="R297" s="866"/>
      <c r="S297" s="866"/>
      <c r="T297" s="866"/>
      <c r="U297" s="866"/>
      <c r="V297" s="866"/>
      <c r="W297" s="866"/>
      <c r="Y297" s="866"/>
      <c r="Z297" s="868"/>
      <c r="AA297" s="868"/>
      <c r="AB297" s="866"/>
      <c r="AC297" s="866"/>
      <c r="AD297" s="868"/>
      <c r="AE297" s="868"/>
    </row>
    <row r="298" spans="1:31" x14ac:dyDescent="0.25">
      <c r="A298" s="485"/>
      <c r="B298" s="485"/>
      <c r="C298" s="480"/>
      <c r="D298" s="480"/>
      <c r="E298" s="480"/>
      <c r="F298" s="480"/>
      <c r="G298" s="480"/>
      <c r="H298" s="480"/>
      <c r="I298" s="866"/>
      <c r="J298" s="866"/>
      <c r="K298" s="866"/>
      <c r="N298" s="866"/>
      <c r="O298" s="866"/>
      <c r="P298" s="866"/>
      <c r="Q298" s="866"/>
      <c r="R298" s="866"/>
      <c r="S298" s="866"/>
      <c r="T298" s="866"/>
      <c r="U298" s="866"/>
      <c r="V298" s="866"/>
      <c r="W298" s="866"/>
      <c r="Y298" s="866"/>
      <c r="Z298" s="868"/>
      <c r="AA298" s="868"/>
      <c r="AB298" s="866"/>
      <c r="AC298" s="866"/>
      <c r="AD298" s="868"/>
      <c r="AE298" s="868"/>
    </row>
    <row r="299" spans="1:31" x14ac:dyDescent="0.25">
      <c r="A299" s="403"/>
      <c r="B299" s="481"/>
      <c r="C299" s="480"/>
      <c r="D299" s="480"/>
      <c r="E299" s="480"/>
      <c r="F299" s="480"/>
      <c r="G299" s="480"/>
      <c r="H299" s="480"/>
      <c r="I299" s="866"/>
      <c r="J299" s="866"/>
      <c r="K299" s="866"/>
      <c r="N299" s="866"/>
      <c r="O299" s="866"/>
      <c r="P299" s="866"/>
      <c r="Q299" s="866"/>
      <c r="R299" s="866"/>
      <c r="S299" s="866"/>
      <c r="T299" s="866"/>
      <c r="U299" s="866"/>
      <c r="V299" s="866"/>
      <c r="W299" s="866"/>
      <c r="Y299" s="866"/>
      <c r="Z299" s="868"/>
      <c r="AA299" s="868"/>
      <c r="AB299" s="866"/>
      <c r="AC299" s="866"/>
      <c r="AD299" s="868"/>
      <c r="AE299" s="868"/>
    </row>
    <row r="300" spans="1:31" x14ac:dyDescent="0.25">
      <c r="A300" s="481"/>
      <c r="B300" s="481"/>
      <c r="C300" s="480"/>
      <c r="D300" s="480"/>
      <c r="E300" s="480"/>
      <c r="F300" s="480"/>
      <c r="G300" s="480"/>
      <c r="H300" s="484"/>
      <c r="I300" s="866"/>
      <c r="J300" s="866"/>
      <c r="K300" s="866"/>
      <c r="N300" s="866"/>
      <c r="O300" s="866"/>
      <c r="P300" s="866"/>
      <c r="Q300" s="866"/>
      <c r="R300" s="866"/>
      <c r="S300" s="866"/>
      <c r="T300" s="866"/>
      <c r="U300" s="866"/>
      <c r="V300" s="866"/>
      <c r="W300" s="866"/>
      <c r="Y300" s="866"/>
      <c r="Z300" s="868"/>
      <c r="AA300" s="868"/>
      <c r="AB300" s="866"/>
      <c r="AC300" s="866"/>
      <c r="AD300" s="868"/>
      <c r="AE300" s="868"/>
    </row>
    <row r="301" spans="1:31" x14ac:dyDescent="0.25">
      <c r="A301" s="486"/>
      <c r="B301" s="486"/>
      <c r="C301" s="480"/>
      <c r="D301" s="480"/>
      <c r="E301" s="480"/>
      <c r="F301" s="480"/>
      <c r="G301" s="480"/>
      <c r="H301" s="484"/>
      <c r="I301" s="866"/>
      <c r="J301" s="866"/>
      <c r="K301" s="866"/>
      <c r="N301" s="866"/>
      <c r="O301" s="866"/>
      <c r="P301" s="866"/>
      <c r="Q301" s="866"/>
      <c r="R301" s="866"/>
      <c r="S301" s="866"/>
      <c r="T301" s="866"/>
      <c r="U301" s="866"/>
      <c r="V301" s="866"/>
      <c r="W301" s="866"/>
      <c r="Y301" s="866"/>
      <c r="Z301" s="868"/>
      <c r="AA301" s="868"/>
      <c r="AB301" s="866"/>
      <c r="AC301" s="866"/>
      <c r="AD301" s="868"/>
      <c r="AE301" s="868"/>
    </row>
    <row r="302" spans="1:31" x14ac:dyDescent="0.25">
      <c r="A302" s="405"/>
      <c r="B302" s="405"/>
      <c r="C302" s="866"/>
      <c r="D302" s="866"/>
      <c r="E302" s="866"/>
      <c r="F302" s="866"/>
      <c r="G302" s="866"/>
      <c r="H302" s="866"/>
      <c r="I302" s="866"/>
      <c r="J302" s="866"/>
      <c r="K302" s="866"/>
      <c r="N302" s="866"/>
      <c r="O302" s="866"/>
      <c r="P302" s="866"/>
      <c r="Q302" s="866"/>
      <c r="R302" s="866"/>
      <c r="S302" s="866"/>
      <c r="T302" s="866"/>
      <c r="U302" s="866"/>
      <c r="V302" s="866"/>
      <c r="W302" s="866"/>
      <c r="Y302" s="866"/>
      <c r="Z302" s="868"/>
      <c r="AA302" s="868"/>
      <c r="AB302" s="866"/>
      <c r="AC302" s="866"/>
      <c r="AD302" s="868"/>
      <c r="AE302" s="868"/>
    </row>
    <row r="303" spans="1:31" x14ac:dyDescent="0.25">
      <c r="A303" s="405"/>
      <c r="B303" s="405"/>
      <c r="C303" s="866"/>
      <c r="D303" s="866"/>
      <c r="E303" s="866"/>
      <c r="F303" s="866"/>
      <c r="G303" s="866"/>
      <c r="H303" s="866"/>
      <c r="I303" s="866"/>
      <c r="J303" s="866"/>
      <c r="K303" s="866"/>
      <c r="N303" s="866"/>
      <c r="O303" s="866"/>
      <c r="P303" s="866"/>
      <c r="Q303" s="866"/>
      <c r="R303" s="866"/>
      <c r="S303" s="866"/>
      <c r="T303" s="866"/>
      <c r="U303" s="866"/>
      <c r="V303" s="866"/>
      <c r="W303" s="866"/>
      <c r="Y303" s="866"/>
      <c r="Z303" s="868"/>
      <c r="AA303" s="868"/>
      <c r="AB303" s="866"/>
      <c r="AC303" s="866"/>
      <c r="AD303" s="868"/>
      <c r="AE303" s="868"/>
    </row>
    <row r="304" spans="1:31" x14ac:dyDescent="0.25">
      <c r="A304" s="405"/>
      <c r="B304" s="405"/>
      <c r="C304" s="866"/>
      <c r="D304" s="866"/>
      <c r="E304" s="866"/>
      <c r="F304" s="866"/>
      <c r="G304" s="866"/>
      <c r="H304" s="866"/>
      <c r="I304" s="866"/>
      <c r="J304" s="866"/>
      <c r="K304" s="866"/>
      <c r="N304" s="866"/>
      <c r="O304" s="866"/>
      <c r="P304" s="866"/>
      <c r="Q304" s="866"/>
      <c r="R304" s="866"/>
      <c r="S304" s="866"/>
      <c r="T304" s="866"/>
      <c r="U304" s="866"/>
      <c r="V304" s="866"/>
      <c r="W304" s="866"/>
      <c r="Y304" s="866"/>
      <c r="Z304" s="868"/>
      <c r="AA304" s="868"/>
      <c r="AB304" s="866"/>
      <c r="AC304" s="866"/>
      <c r="AD304" s="868"/>
      <c r="AE304" s="868"/>
    </row>
    <row r="305" spans="1:31" x14ac:dyDescent="0.25">
      <c r="A305" s="405"/>
      <c r="B305" s="405"/>
      <c r="C305" s="866"/>
      <c r="D305" s="866"/>
      <c r="E305" s="866"/>
      <c r="F305" s="866"/>
      <c r="G305" s="866"/>
      <c r="H305" s="866"/>
      <c r="I305" s="866"/>
      <c r="J305" s="866"/>
      <c r="K305" s="866"/>
      <c r="N305" s="866"/>
      <c r="O305" s="866"/>
      <c r="P305" s="866"/>
      <c r="Q305" s="866"/>
      <c r="R305" s="866"/>
      <c r="S305" s="866"/>
      <c r="T305" s="866"/>
      <c r="U305" s="866"/>
      <c r="V305" s="866"/>
      <c r="W305" s="866"/>
      <c r="Y305" s="866"/>
      <c r="Z305" s="868"/>
      <c r="AA305" s="868"/>
      <c r="AB305" s="866"/>
      <c r="AC305" s="866"/>
      <c r="AD305" s="868"/>
      <c r="AE305" s="868"/>
    </row>
    <row r="306" spans="1:31" x14ac:dyDescent="0.25">
      <c r="A306" s="405"/>
      <c r="B306" s="405"/>
      <c r="C306" s="866"/>
      <c r="D306" s="866"/>
      <c r="E306" s="866"/>
      <c r="F306" s="866"/>
      <c r="G306" s="866"/>
      <c r="H306" s="866"/>
      <c r="I306" s="866"/>
      <c r="J306" s="866"/>
      <c r="K306" s="866"/>
      <c r="N306" s="866"/>
      <c r="O306" s="866"/>
      <c r="P306" s="866"/>
      <c r="Q306" s="866"/>
      <c r="R306" s="866"/>
      <c r="S306" s="866"/>
      <c r="T306" s="866"/>
      <c r="U306" s="866"/>
      <c r="V306" s="866"/>
      <c r="W306" s="866"/>
      <c r="Y306" s="866"/>
      <c r="Z306" s="868"/>
      <c r="AA306" s="868"/>
      <c r="AB306" s="866"/>
      <c r="AC306" s="866"/>
      <c r="AD306" s="868"/>
      <c r="AE306" s="868"/>
    </row>
    <row r="307" spans="1:31" x14ac:dyDescent="0.25">
      <c r="A307" s="405"/>
      <c r="B307" s="405"/>
      <c r="C307" s="866"/>
      <c r="D307" s="866"/>
      <c r="E307" s="866"/>
      <c r="F307" s="866"/>
      <c r="G307" s="866"/>
      <c r="H307" s="866"/>
      <c r="I307" s="866"/>
      <c r="J307" s="866"/>
      <c r="K307" s="866"/>
      <c r="N307" s="866"/>
      <c r="O307" s="866"/>
      <c r="P307" s="866"/>
      <c r="Q307" s="866"/>
      <c r="R307" s="866"/>
      <c r="S307" s="866"/>
      <c r="T307" s="866"/>
      <c r="U307" s="866"/>
      <c r="V307" s="866"/>
      <c r="W307" s="866"/>
      <c r="Y307" s="866"/>
      <c r="Z307" s="868"/>
      <c r="AA307" s="868"/>
      <c r="AB307" s="866"/>
      <c r="AC307" s="866"/>
      <c r="AD307" s="868"/>
      <c r="AE307" s="868"/>
    </row>
    <row r="308" spans="1:31" x14ac:dyDescent="0.25">
      <c r="A308" s="405"/>
      <c r="B308" s="405"/>
      <c r="C308" s="866"/>
      <c r="D308" s="866"/>
      <c r="E308" s="866"/>
      <c r="F308" s="866"/>
      <c r="G308" s="866"/>
      <c r="H308" s="866"/>
      <c r="I308" s="866"/>
      <c r="J308" s="866"/>
      <c r="K308" s="866"/>
      <c r="N308" s="866"/>
      <c r="O308" s="866"/>
      <c r="P308" s="866"/>
      <c r="Q308" s="866"/>
      <c r="R308" s="866"/>
      <c r="S308" s="866"/>
      <c r="T308" s="866"/>
      <c r="U308" s="866"/>
      <c r="V308" s="866"/>
      <c r="W308" s="866"/>
      <c r="Y308" s="866"/>
      <c r="Z308" s="868"/>
      <c r="AA308" s="868"/>
      <c r="AB308" s="866"/>
      <c r="AC308" s="866"/>
      <c r="AD308" s="868"/>
      <c r="AE308" s="868"/>
    </row>
    <row r="309" spans="1:31" x14ac:dyDescent="0.25">
      <c r="A309" s="405"/>
      <c r="B309" s="405"/>
      <c r="C309" s="866"/>
      <c r="D309" s="866"/>
      <c r="E309" s="866"/>
      <c r="F309" s="866"/>
      <c r="G309" s="866"/>
      <c r="H309" s="866"/>
      <c r="I309" s="866"/>
      <c r="J309" s="866"/>
      <c r="K309" s="866"/>
      <c r="N309" s="866"/>
      <c r="O309" s="866"/>
      <c r="P309" s="866"/>
      <c r="Q309" s="866"/>
      <c r="R309" s="866"/>
      <c r="S309" s="866"/>
      <c r="T309" s="866"/>
      <c r="U309" s="866"/>
      <c r="V309" s="866"/>
      <c r="W309" s="866"/>
      <c r="Y309" s="866"/>
      <c r="Z309" s="868"/>
      <c r="AA309" s="868"/>
      <c r="AB309" s="866"/>
      <c r="AC309" s="866"/>
      <c r="AD309" s="868"/>
      <c r="AE309" s="868"/>
    </row>
    <row r="310" spans="1:31" x14ac:dyDescent="0.25">
      <c r="A310" s="405"/>
      <c r="B310" s="405"/>
      <c r="C310" s="866"/>
      <c r="D310" s="866"/>
      <c r="E310" s="866"/>
      <c r="F310" s="866"/>
      <c r="G310" s="866"/>
      <c r="H310" s="866"/>
      <c r="I310" s="866"/>
      <c r="J310" s="866"/>
      <c r="K310" s="866"/>
      <c r="N310" s="866"/>
      <c r="O310" s="866"/>
      <c r="P310" s="866"/>
      <c r="Q310" s="866"/>
      <c r="R310" s="866"/>
      <c r="S310" s="866"/>
      <c r="T310" s="866"/>
      <c r="U310" s="866"/>
      <c r="V310" s="866"/>
      <c r="W310" s="866"/>
      <c r="Y310" s="866"/>
      <c r="Z310" s="868"/>
      <c r="AA310" s="868"/>
      <c r="AB310" s="866"/>
      <c r="AC310" s="866"/>
      <c r="AD310" s="868"/>
      <c r="AE310" s="868"/>
    </row>
    <row r="311" spans="1:31" x14ac:dyDescent="0.25">
      <c r="A311" s="405"/>
      <c r="B311" s="405"/>
      <c r="C311" s="866"/>
      <c r="D311" s="866"/>
      <c r="E311" s="866"/>
      <c r="F311" s="866"/>
      <c r="G311" s="866"/>
      <c r="H311" s="866"/>
      <c r="I311" s="866"/>
      <c r="J311" s="866"/>
      <c r="K311" s="866"/>
      <c r="N311" s="866"/>
      <c r="O311" s="866"/>
      <c r="P311" s="866"/>
      <c r="Q311" s="866"/>
      <c r="R311" s="866"/>
      <c r="S311" s="866"/>
      <c r="T311" s="866"/>
      <c r="U311" s="866"/>
      <c r="V311" s="866"/>
      <c r="W311" s="866"/>
      <c r="Y311" s="866"/>
      <c r="Z311" s="868"/>
      <c r="AA311" s="868"/>
      <c r="AB311" s="866"/>
      <c r="AC311" s="866"/>
      <c r="AD311" s="868"/>
      <c r="AE311" s="868"/>
    </row>
    <row r="312" spans="1:31" x14ac:dyDescent="0.25">
      <c r="A312" s="405"/>
      <c r="B312" s="405"/>
      <c r="C312" s="866"/>
      <c r="D312" s="866"/>
      <c r="E312" s="866"/>
      <c r="F312" s="866"/>
      <c r="G312" s="866"/>
      <c r="H312" s="866"/>
      <c r="I312" s="866"/>
      <c r="J312" s="866"/>
      <c r="K312" s="866"/>
      <c r="N312" s="866"/>
      <c r="O312" s="866"/>
      <c r="P312" s="866"/>
      <c r="Q312" s="866"/>
      <c r="R312" s="866"/>
      <c r="S312" s="866"/>
      <c r="T312" s="866"/>
      <c r="U312" s="866"/>
      <c r="V312" s="866"/>
      <c r="W312" s="866"/>
      <c r="Y312" s="866"/>
      <c r="Z312" s="868"/>
      <c r="AA312" s="868"/>
      <c r="AB312" s="866"/>
      <c r="AC312" s="866"/>
      <c r="AD312" s="868"/>
      <c r="AE312" s="868"/>
    </row>
    <row r="313" spans="1:31" x14ac:dyDescent="0.25">
      <c r="A313" s="405"/>
      <c r="B313" s="405"/>
      <c r="C313" s="866"/>
      <c r="D313" s="866"/>
      <c r="E313" s="866"/>
      <c r="F313" s="866"/>
      <c r="G313" s="866"/>
      <c r="H313" s="866"/>
      <c r="I313" s="866"/>
      <c r="J313" s="866"/>
      <c r="K313" s="866"/>
      <c r="N313" s="866"/>
      <c r="O313" s="866"/>
      <c r="P313" s="866"/>
      <c r="Q313" s="866"/>
      <c r="R313" s="866"/>
      <c r="S313" s="866"/>
      <c r="T313" s="866"/>
      <c r="U313" s="866"/>
      <c r="V313" s="866"/>
      <c r="W313" s="866"/>
      <c r="Y313" s="866"/>
      <c r="Z313" s="868"/>
      <c r="AA313" s="868"/>
      <c r="AB313" s="866"/>
      <c r="AC313" s="866"/>
      <c r="AD313" s="868"/>
      <c r="AE313" s="868"/>
    </row>
    <row r="314" spans="1:31" x14ac:dyDescent="0.25">
      <c r="A314" s="405"/>
      <c r="B314" s="405"/>
      <c r="C314" s="866"/>
      <c r="D314" s="866"/>
      <c r="E314" s="866"/>
      <c r="F314" s="866"/>
      <c r="G314" s="866"/>
      <c r="H314" s="866"/>
      <c r="I314" s="866"/>
      <c r="J314" s="866"/>
      <c r="K314" s="866"/>
      <c r="N314" s="866"/>
      <c r="O314" s="866"/>
      <c r="P314" s="866"/>
      <c r="Q314" s="866"/>
      <c r="R314" s="866"/>
      <c r="S314" s="866"/>
      <c r="T314" s="866"/>
      <c r="U314" s="866"/>
      <c r="V314" s="866"/>
      <c r="W314" s="866"/>
      <c r="Y314" s="866"/>
      <c r="Z314" s="868"/>
      <c r="AA314" s="868"/>
      <c r="AB314" s="866"/>
      <c r="AC314" s="866"/>
      <c r="AD314" s="868"/>
      <c r="AE314" s="868"/>
    </row>
    <row r="315" spans="1:31" x14ac:dyDescent="0.25">
      <c r="A315" s="405"/>
      <c r="B315" s="405"/>
      <c r="C315" s="866"/>
      <c r="D315" s="866"/>
      <c r="E315" s="866"/>
      <c r="F315" s="866"/>
      <c r="G315" s="866"/>
      <c r="H315" s="866"/>
      <c r="I315" s="866"/>
      <c r="J315" s="866"/>
      <c r="K315" s="866"/>
      <c r="N315" s="866"/>
      <c r="O315" s="866"/>
      <c r="P315" s="866"/>
      <c r="Q315" s="866"/>
      <c r="R315" s="866"/>
      <c r="S315" s="866"/>
      <c r="T315" s="866"/>
      <c r="U315" s="866"/>
      <c r="V315" s="866"/>
      <c r="W315" s="866"/>
      <c r="Y315" s="866"/>
      <c r="Z315" s="868"/>
      <c r="AA315" s="868"/>
      <c r="AB315" s="866"/>
      <c r="AC315" s="866"/>
      <c r="AD315" s="868"/>
      <c r="AE315" s="868"/>
    </row>
    <row r="316" spans="1:31" x14ac:dyDescent="0.25">
      <c r="A316" s="405"/>
      <c r="B316" s="405"/>
      <c r="C316" s="866"/>
      <c r="D316" s="866"/>
      <c r="E316" s="866"/>
      <c r="F316" s="866"/>
      <c r="G316" s="866"/>
      <c r="H316" s="866"/>
      <c r="I316" s="866"/>
      <c r="J316" s="866"/>
      <c r="K316" s="866"/>
      <c r="N316" s="866"/>
      <c r="O316" s="866"/>
      <c r="P316" s="866"/>
      <c r="Q316" s="866"/>
      <c r="R316" s="866"/>
      <c r="S316" s="866"/>
      <c r="T316" s="866"/>
      <c r="U316" s="866"/>
      <c r="V316" s="866"/>
      <c r="W316" s="866"/>
      <c r="Y316" s="866"/>
      <c r="Z316" s="868"/>
      <c r="AA316" s="868"/>
      <c r="AB316" s="866"/>
      <c r="AC316" s="866"/>
      <c r="AD316" s="868"/>
      <c r="AE316" s="868"/>
    </row>
    <row r="317" spans="1:31" x14ac:dyDescent="0.25">
      <c r="A317" s="405"/>
      <c r="B317" s="405"/>
      <c r="C317" s="866"/>
      <c r="D317" s="866"/>
      <c r="E317" s="866"/>
      <c r="F317" s="866"/>
      <c r="G317" s="866"/>
      <c r="H317" s="866"/>
      <c r="I317" s="866"/>
      <c r="J317" s="866"/>
      <c r="K317" s="866"/>
      <c r="N317" s="866"/>
      <c r="O317" s="866"/>
      <c r="P317" s="866"/>
      <c r="Q317" s="866"/>
      <c r="R317" s="866"/>
      <c r="S317" s="866"/>
      <c r="T317" s="866"/>
      <c r="U317" s="866"/>
      <c r="V317" s="866"/>
      <c r="W317" s="866"/>
      <c r="Y317" s="866"/>
      <c r="Z317" s="868"/>
      <c r="AA317" s="868"/>
      <c r="AB317" s="866"/>
      <c r="AC317" s="866"/>
      <c r="AD317" s="868"/>
      <c r="AE317" s="868"/>
    </row>
    <row r="318" spans="1:31" x14ac:dyDescent="0.25">
      <c r="A318" s="405"/>
      <c r="B318" s="405"/>
      <c r="C318" s="866"/>
      <c r="D318" s="866"/>
      <c r="E318" s="866"/>
      <c r="F318" s="866"/>
      <c r="G318" s="866"/>
      <c r="H318" s="866"/>
      <c r="I318" s="866"/>
      <c r="J318" s="866"/>
      <c r="K318" s="866"/>
      <c r="N318" s="866"/>
      <c r="O318" s="866"/>
      <c r="P318" s="866"/>
      <c r="Q318" s="866"/>
      <c r="R318" s="866"/>
      <c r="S318" s="866"/>
      <c r="T318" s="866"/>
      <c r="U318" s="866"/>
      <c r="V318" s="866"/>
      <c r="W318" s="866"/>
      <c r="Y318" s="866"/>
      <c r="Z318" s="868"/>
      <c r="AA318" s="868"/>
      <c r="AB318" s="866"/>
      <c r="AC318" s="866"/>
      <c r="AD318" s="868"/>
      <c r="AE318" s="868"/>
    </row>
    <row r="319" spans="1:31" x14ac:dyDescent="0.25">
      <c r="A319" s="405"/>
      <c r="B319" s="405"/>
      <c r="C319" s="866"/>
      <c r="D319" s="866"/>
      <c r="E319" s="866"/>
      <c r="F319" s="866"/>
      <c r="G319" s="866"/>
      <c r="H319" s="866"/>
      <c r="I319" s="866"/>
      <c r="J319" s="866"/>
      <c r="K319" s="866"/>
      <c r="N319" s="866"/>
      <c r="O319" s="866"/>
      <c r="P319" s="866"/>
      <c r="Q319" s="866"/>
      <c r="R319" s="866"/>
      <c r="S319" s="866"/>
      <c r="T319" s="866"/>
      <c r="U319" s="866"/>
      <c r="V319" s="866"/>
      <c r="W319" s="866"/>
      <c r="Y319" s="866"/>
      <c r="Z319" s="868"/>
      <c r="AA319" s="868"/>
      <c r="AB319" s="866"/>
      <c r="AC319" s="866"/>
      <c r="AD319" s="868"/>
      <c r="AE319" s="868"/>
    </row>
    <row r="320" spans="1:31" x14ac:dyDescent="0.25">
      <c r="A320" s="405"/>
      <c r="B320" s="405"/>
      <c r="C320" s="866"/>
      <c r="D320" s="866"/>
      <c r="E320" s="866"/>
      <c r="F320" s="866"/>
      <c r="G320" s="866"/>
      <c r="H320" s="866"/>
      <c r="I320" s="866"/>
      <c r="J320" s="866"/>
      <c r="K320" s="866"/>
      <c r="N320" s="866"/>
      <c r="O320" s="866"/>
      <c r="P320" s="866"/>
      <c r="Q320" s="866"/>
      <c r="R320" s="866"/>
      <c r="S320" s="866"/>
      <c r="T320" s="866"/>
      <c r="U320" s="866"/>
      <c r="V320" s="866"/>
      <c r="W320" s="866"/>
      <c r="Y320" s="866"/>
      <c r="Z320" s="868"/>
      <c r="AA320" s="868"/>
      <c r="AB320" s="866"/>
      <c r="AC320" s="866"/>
      <c r="AD320" s="868"/>
      <c r="AE320" s="868"/>
    </row>
    <row r="321" spans="1:31" x14ac:dyDescent="0.25">
      <c r="A321" s="405"/>
      <c r="B321" s="405"/>
      <c r="C321" s="866"/>
      <c r="D321" s="866"/>
      <c r="E321" s="866"/>
      <c r="F321" s="866"/>
      <c r="G321" s="866"/>
      <c r="H321" s="866"/>
      <c r="I321" s="866"/>
      <c r="J321" s="866"/>
      <c r="K321" s="866"/>
      <c r="N321" s="866"/>
      <c r="O321" s="866"/>
      <c r="P321" s="866"/>
      <c r="Q321" s="866"/>
      <c r="R321" s="866"/>
      <c r="S321" s="866"/>
      <c r="T321" s="866"/>
      <c r="U321" s="866"/>
      <c r="V321" s="866"/>
      <c r="W321" s="866"/>
      <c r="Y321" s="866"/>
      <c r="Z321" s="868"/>
      <c r="AA321" s="868"/>
      <c r="AB321" s="866"/>
      <c r="AC321" s="866"/>
      <c r="AD321" s="868"/>
      <c r="AE321" s="868"/>
    </row>
    <row r="322" spans="1:31" x14ac:dyDescent="0.25">
      <c r="A322" s="405"/>
      <c r="B322" s="405"/>
      <c r="C322" s="866"/>
      <c r="D322" s="866"/>
      <c r="E322" s="866"/>
      <c r="F322" s="866"/>
      <c r="G322" s="866"/>
      <c r="H322" s="866"/>
      <c r="I322" s="866"/>
      <c r="J322" s="866"/>
      <c r="K322" s="866"/>
      <c r="N322" s="866"/>
      <c r="O322" s="866"/>
      <c r="P322" s="866"/>
      <c r="Q322" s="866"/>
      <c r="R322" s="866"/>
      <c r="S322" s="866"/>
      <c r="T322" s="866"/>
      <c r="U322" s="866"/>
      <c r="V322" s="866"/>
      <c r="W322" s="866"/>
      <c r="Y322" s="866"/>
      <c r="Z322" s="868"/>
      <c r="AA322" s="868"/>
      <c r="AB322" s="866"/>
      <c r="AC322" s="866"/>
      <c r="AD322" s="868"/>
      <c r="AE322" s="868"/>
    </row>
  </sheetData>
  <sheetProtection formatCells="0" formatColumns="0" formatRows="0" insertColumns="0" insertRows="0" insertHyperlinks="0" selectLockedCells="1"/>
  <mergeCells count="31">
    <mergeCell ref="N13:P13"/>
    <mergeCell ref="R13:W13"/>
    <mergeCell ref="O14:O18"/>
    <mergeCell ref="U14:U18"/>
    <mergeCell ref="V14:V18"/>
    <mergeCell ref="AM19:AO19"/>
    <mergeCell ref="AG14:AH14"/>
    <mergeCell ref="AJ14:AK14"/>
    <mergeCell ref="AM14:AN14"/>
    <mergeCell ref="I15:K15"/>
    <mergeCell ref="R15:R18"/>
    <mergeCell ref="S15:S18"/>
    <mergeCell ref="T15:T18"/>
    <mergeCell ref="N16:N18"/>
    <mergeCell ref="Y14:AE15"/>
    <mergeCell ref="D18:E18"/>
    <mergeCell ref="F18:G18"/>
    <mergeCell ref="AC19:AE19"/>
    <mergeCell ref="AG19:AH19"/>
    <mergeCell ref="AJ19:AK19"/>
    <mergeCell ref="AG36:AH36"/>
    <mergeCell ref="AJ36:AK36"/>
    <mergeCell ref="AM36:AO36"/>
    <mergeCell ref="Y56:Z56"/>
    <mergeCell ref="AC56:AE56"/>
    <mergeCell ref="Y65:Z65"/>
    <mergeCell ref="AC65:AE65"/>
    <mergeCell ref="H180:J180"/>
    <mergeCell ref="A283:B283"/>
    <mergeCell ref="Y36:AA36"/>
    <mergeCell ref="AC36:AE36"/>
  </mergeCells>
  <dataValidations count="14">
    <dataValidation type="list" allowBlank="1" showInputMessage="1" showErrorMessage="1" sqref="I102">
      <formula1>$J$237:$J$250</formula1>
    </dataValidation>
    <dataValidation type="list" allowBlank="1" showInputMessage="1" showErrorMessage="1" sqref="I90">
      <formula1>$J$201:$J$204</formula1>
    </dataValidation>
    <dataValidation type="list" allowBlank="1" showInputMessage="1" showErrorMessage="1" sqref="I94">
      <formula1>$J$206:$J$209</formula1>
    </dataValidation>
    <dataValidation type="whole" operator="lessThanOrEqual" allowBlank="1" showInputMessage="1" showErrorMessage="1" sqref="I182:I183">
      <formula1>25000</formula1>
    </dataValidation>
    <dataValidation type="list" allowBlank="1" showInputMessage="1" showErrorMessage="1" prompt="If you've already included the subaward on your Y1 budget and its Y1 value is equal to or greater than 25K, answer No." sqref="C133">
      <formula1>$A$275:$A$276</formula1>
    </dataValidation>
    <dataValidation type="list" allowBlank="1" showInputMessage="1" showErrorMessage="1" promptTitle="Still not sure?" prompt="PIs generally add new subawards in the Y1 budget tab and continue them in the future years. _x000a__x000a_If you're adding it for the 1st time in this budget year and its value is less than $25,000, answer Yes." sqref="E175">
      <formula1>$A$203:$A$204</formula1>
    </dataValidation>
    <dataValidation type="list" allowBlank="1" showInputMessage="1" showErrorMessage="1" sqref="H223 H116:H119">
      <formula1>Subwardsq</formula1>
    </dataValidation>
    <dataValidation type="list" allowBlank="1" showInputMessage="1" showErrorMessage="1" sqref="E138">
      <formula1>$J$140:$J$165</formula1>
    </dataValidation>
    <dataValidation type="list" allowBlank="1" showInputMessage="1" showErrorMessage="1" sqref="C168 L198:M198 J198 I197 R20:R27 H188 G258 I235 E252 E113 E228 E125 G194 O21:O27">
      <formula1>$A$275:$A$276</formula1>
    </dataValidation>
    <dataValidation type="list" allowBlank="1" showInputMessage="1" showErrorMessage="1" promptTitle="Not Sure?" prompt="Assume Yes unless otherwise specified in the agency's instructions." sqref="I225">
      <formula1>$A$275:$A$276</formula1>
    </dataValidation>
    <dataValidation allowBlank="1" showInputMessage="1" showErrorMessage="1" promptTitle="Confused?" prompt="Do not confuse the FRINGE BENEFIT RATE with the F&amp;A Rate.  This question is about fringe benefits." sqref="J226"/>
    <dataValidation type="list" allowBlank="1" showInputMessage="1" showErrorMessage="1" sqref="F123">
      <formula1>$F$117:$F$122</formula1>
    </dataValidation>
    <dataValidation type="list" allowBlank="1" showInputMessage="1" showErrorMessage="1" promptTitle="K award?" prompt="Answer &quot;No&quot; if this is a K award.  _x000a__x000a_Answer &quot;Yes&quot; if there is a K awardee on your budget where the funding source is federal.  Example: NIH R01 grant with a K awardee as a co-investigator." sqref="O20">
      <formula1>$A$275:$A$276</formula1>
    </dataValidation>
    <dataValidation type="list" allowBlank="1" showInputMessage="1" showErrorMessage="1" sqref="K85:M85">
      <formula1>$D$271:$D$281</formula1>
    </dataValidation>
  </dataValidations>
  <hyperlinks>
    <hyperlink ref="K125" r:id="rId1"/>
    <hyperlink ref="K258" r:id="rId2"/>
    <hyperlink ref="K259" r:id="rId3"/>
  </hyperlinks>
  <pageMargins left="0.25" right="0.25" top="0.25" bottom="0.25" header="0" footer="0"/>
  <pageSetup scale="46" orientation="portrait" horizontalDpi="1200" verticalDpi="1200"/>
  <headerFooter alignWithMargins="0"/>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322"/>
  <sheetViews>
    <sheetView zoomScale="75" zoomScaleNormal="75" zoomScalePageLayoutView="75" workbookViewId="0">
      <selection activeCell="H33" sqref="H33"/>
    </sheetView>
  </sheetViews>
  <sheetFormatPr defaultColWidth="8.88671875" defaultRowHeight="13.8" x14ac:dyDescent="0.25"/>
  <cols>
    <col min="1" max="1" width="26.33203125" style="3" customWidth="1"/>
    <col min="2" max="2" width="25.33203125" style="3" customWidth="1"/>
    <col min="3" max="3" width="14.88671875" style="867" customWidth="1"/>
    <col min="4" max="4" width="10.44140625" style="867" customWidth="1"/>
    <col min="5" max="5" width="12" style="867" customWidth="1"/>
    <col min="6" max="7" width="10.44140625" style="867" customWidth="1"/>
    <col min="8" max="8" width="16.33203125" style="867" customWidth="1"/>
    <col min="9" max="9" width="16.44140625" style="867" customWidth="1"/>
    <col min="10" max="10" width="18.6640625" style="867" customWidth="1"/>
    <col min="11" max="11" width="24.88671875" style="867" customWidth="1"/>
    <col min="12" max="12" width="8.6640625" style="13" hidden="1" customWidth="1"/>
    <col min="13" max="13" width="10.109375" style="13" hidden="1" customWidth="1"/>
    <col min="14" max="14" width="8" style="867" customWidth="1"/>
    <col min="15" max="15" width="9.44140625" style="867" customWidth="1"/>
    <col min="16" max="16" width="11.6640625" style="867" customWidth="1"/>
    <col min="17" max="17" width="1.44140625" style="867" customWidth="1"/>
    <col min="18" max="18" width="7.6640625" style="867" customWidth="1"/>
    <col min="19" max="19" width="7.44140625" style="867" hidden="1" customWidth="1"/>
    <col min="20" max="20" width="9.44140625" style="867" hidden="1" customWidth="1"/>
    <col min="21" max="21" width="8" style="867" customWidth="1"/>
    <col min="22" max="22" width="9.109375" style="867" customWidth="1"/>
    <col min="23" max="23" width="7.44140625" style="867" customWidth="1"/>
    <col min="24" max="24" width="2.88671875" style="866" customWidth="1"/>
    <col min="25" max="25" width="14.109375" style="867" customWidth="1"/>
    <col min="26" max="26" width="11.88671875" style="873" customWidth="1"/>
    <col min="27" max="27" width="10.88671875" style="873" customWidth="1"/>
    <col min="28" max="28" width="1.6640625" style="867" customWidth="1"/>
    <col min="29" max="29" width="13.109375" style="867" customWidth="1"/>
    <col min="30" max="30" width="12.44140625" style="873" customWidth="1"/>
    <col min="31" max="31" width="12.33203125" style="873" customWidth="1"/>
    <col min="32" max="32" width="1" style="867" customWidth="1"/>
    <col min="33" max="33" width="10.109375" style="867" hidden="1" customWidth="1"/>
    <col min="34" max="34" width="8.88671875" style="867" hidden="1" customWidth="1"/>
    <col min="35" max="35" width="1.44140625" style="867" hidden="1" customWidth="1"/>
    <col min="36" max="36" width="10" style="867" hidden="1" customWidth="1"/>
    <col min="37" max="37" width="9.88671875" style="867" hidden="1" customWidth="1"/>
    <col min="38" max="38" width="1" style="867" hidden="1" customWidth="1"/>
    <col min="39" max="39" width="11" style="867" hidden="1" customWidth="1"/>
    <col min="40" max="40" width="10.88671875" style="867" hidden="1" customWidth="1"/>
    <col min="41" max="41" width="11.88671875" style="867" hidden="1" customWidth="1"/>
    <col min="42" max="42" width="10.33203125" style="866" customWidth="1"/>
    <col min="43" max="43" width="8.88671875" style="866" customWidth="1"/>
    <col min="44" max="52" width="8.88671875" style="866"/>
    <col min="53" max="16384" width="8.88671875" style="867"/>
  </cols>
  <sheetData>
    <row r="1" spans="1:78" x14ac:dyDescent="0.25">
      <c r="A1" s="863" t="s">
        <v>411</v>
      </c>
      <c r="B1" s="864"/>
      <c r="C1" s="865"/>
      <c r="D1" s="865"/>
      <c r="E1" s="865"/>
      <c r="F1" s="865"/>
      <c r="G1" s="865"/>
      <c r="H1" s="865"/>
      <c r="I1" s="865"/>
      <c r="J1" s="865"/>
      <c r="K1" s="865"/>
      <c r="L1" s="866"/>
      <c r="M1" s="866"/>
      <c r="N1" s="866"/>
      <c r="O1" s="866"/>
      <c r="P1" s="866"/>
      <c r="Q1" s="866"/>
      <c r="R1" s="866"/>
      <c r="S1" s="866"/>
      <c r="T1" s="866"/>
      <c r="U1" s="866"/>
      <c r="W1" s="866"/>
      <c r="X1" s="868"/>
      <c r="Y1" s="868"/>
      <c r="Z1" s="866"/>
      <c r="AA1" s="866"/>
      <c r="AB1" s="868"/>
      <c r="AC1" s="868"/>
      <c r="AD1" s="867"/>
      <c r="AE1" s="867"/>
      <c r="AK1" s="129" t="e">
        <f>#REF!*#REF!</f>
        <v>#REF!</v>
      </c>
      <c r="AL1" s="129" t="e">
        <f>#REF!*#REF!</f>
        <v>#REF!</v>
      </c>
      <c r="AM1" s="129" t="e">
        <f>#REF!*#REF!</f>
        <v>#REF!</v>
      </c>
      <c r="AN1" s="866"/>
      <c r="AO1" s="866"/>
      <c r="BA1" s="869"/>
      <c r="BB1" s="869"/>
      <c r="BC1" s="869"/>
      <c r="BD1" s="869"/>
      <c r="BE1" s="869"/>
      <c r="BF1" s="869"/>
      <c r="BG1" s="869"/>
      <c r="BH1" s="869"/>
      <c r="BI1" s="869"/>
      <c r="BJ1" s="869"/>
      <c r="BK1" s="869"/>
      <c r="BL1" s="869"/>
      <c r="BM1" s="869"/>
      <c r="BN1" s="869"/>
      <c r="BO1" s="869"/>
      <c r="BP1" s="869"/>
      <c r="BQ1" s="869"/>
      <c r="BR1" s="869"/>
      <c r="BS1" s="869"/>
      <c r="BT1" s="869"/>
      <c r="BU1" s="869"/>
      <c r="BV1" s="869"/>
      <c r="BW1" s="869"/>
      <c r="BX1" s="869"/>
      <c r="BY1" s="869"/>
      <c r="BZ1" s="869"/>
    </row>
    <row r="2" spans="1:78" ht="14.4" x14ac:dyDescent="0.25">
      <c r="A2" s="885" t="s">
        <v>418</v>
      </c>
      <c r="B2" s="871"/>
      <c r="C2" s="872"/>
      <c r="D2" s="872"/>
      <c r="E2" s="872"/>
      <c r="F2" s="872"/>
      <c r="G2" s="872"/>
      <c r="H2" s="872"/>
      <c r="I2" s="872"/>
      <c r="J2" s="872"/>
      <c r="K2" s="872"/>
      <c r="L2" s="867"/>
      <c r="M2" s="867"/>
      <c r="X2" s="873"/>
      <c r="Y2" s="873"/>
      <c r="Z2" s="867"/>
      <c r="AA2" s="867"/>
      <c r="AB2" s="873"/>
      <c r="AC2" s="873"/>
      <c r="AD2" s="867"/>
      <c r="AE2" s="867"/>
      <c r="AN2" s="866"/>
      <c r="AO2" s="866"/>
      <c r="BA2" s="869"/>
      <c r="BB2" s="869"/>
      <c r="BC2" s="869"/>
      <c r="BD2" s="869"/>
      <c r="BE2" s="869"/>
      <c r="BF2" s="869"/>
      <c r="BG2" s="869"/>
      <c r="BH2" s="869"/>
      <c r="BI2" s="869"/>
      <c r="BJ2" s="869"/>
      <c r="BK2" s="869"/>
      <c r="BL2" s="869"/>
      <c r="BM2" s="869"/>
      <c r="BN2" s="869"/>
      <c r="BO2" s="869"/>
      <c r="BP2" s="869"/>
      <c r="BQ2" s="869"/>
      <c r="BR2" s="869"/>
      <c r="BS2" s="869"/>
      <c r="BT2" s="869"/>
      <c r="BU2" s="869"/>
      <c r="BV2" s="869"/>
      <c r="BW2" s="869"/>
      <c r="BX2" s="869"/>
      <c r="BY2" s="869"/>
      <c r="BZ2" s="869"/>
    </row>
    <row r="3" spans="1:78" ht="14.4" x14ac:dyDescent="0.25">
      <c r="A3" s="885" t="s">
        <v>413</v>
      </c>
      <c r="B3" s="871"/>
      <c r="C3" s="872"/>
      <c r="D3" s="872"/>
      <c r="E3" s="872"/>
      <c r="F3" s="872"/>
      <c r="G3" s="872"/>
      <c r="H3" s="872"/>
      <c r="I3" s="872"/>
      <c r="J3" s="872"/>
      <c r="K3" s="872"/>
      <c r="L3" s="867"/>
      <c r="M3" s="867"/>
      <c r="X3" s="873"/>
      <c r="Y3" s="873"/>
      <c r="Z3" s="867"/>
      <c r="AA3" s="867"/>
      <c r="AB3" s="873"/>
      <c r="AC3" s="873"/>
      <c r="AD3" s="867"/>
      <c r="AE3" s="867"/>
      <c r="AN3" s="866"/>
      <c r="AO3" s="866"/>
      <c r="BA3" s="869"/>
      <c r="BB3" s="869"/>
      <c r="BC3" s="869"/>
      <c r="BD3" s="869"/>
      <c r="BE3" s="869"/>
      <c r="BF3" s="869"/>
      <c r="BG3" s="869"/>
      <c r="BH3" s="869"/>
      <c r="BI3" s="869"/>
      <c r="BJ3" s="869"/>
      <c r="BK3" s="869"/>
      <c r="BL3" s="869"/>
      <c r="BM3" s="869"/>
      <c r="BN3" s="869"/>
      <c r="BO3" s="869"/>
      <c r="BP3" s="869"/>
      <c r="BQ3" s="869"/>
      <c r="BR3" s="869"/>
      <c r="BS3" s="869"/>
      <c r="BT3" s="869"/>
      <c r="BU3" s="869"/>
      <c r="BV3" s="869"/>
      <c r="BW3" s="869"/>
      <c r="BX3" s="869"/>
      <c r="BY3" s="869"/>
      <c r="BZ3" s="869"/>
    </row>
    <row r="4" spans="1:78" ht="14.4" x14ac:dyDescent="0.25">
      <c r="A4" s="885" t="s">
        <v>442</v>
      </c>
      <c r="B4" s="871"/>
      <c r="C4" s="872"/>
      <c r="D4" s="872"/>
      <c r="E4" s="872"/>
      <c r="F4" s="872"/>
      <c r="G4" s="872"/>
      <c r="H4" s="872"/>
      <c r="I4" s="872"/>
      <c r="J4" s="872"/>
      <c r="K4" s="872"/>
      <c r="L4" s="867"/>
      <c r="M4" s="867"/>
      <c r="X4" s="873"/>
      <c r="Y4" s="873"/>
      <c r="Z4" s="867"/>
      <c r="AA4" s="867"/>
      <c r="AB4" s="873"/>
      <c r="AC4" s="873"/>
      <c r="AD4" s="867"/>
      <c r="AE4" s="867"/>
      <c r="AN4" s="866"/>
      <c r="AO4" s="866"/>
      <c r="BA4" s="869"/>
      <c r="BB4" s="869"/>
      <c r="BC4" s="869"/>
      <c r="BD4" s="869"/>
      <c r="BE4" s="869"/>
      <c r="BF4" s="869"/>
      <c r="BG4" s="869"/>
      <c r="BH4" s="869"/>
      <c r="BI4" s="869"/>
      <c r="BJ4" s="869"/>
      <c r="BK4" s="869"/>
      <c r="BL4" s="869"/>
      <c r="BM4" s="869"/>
      <c r="BN4" s="869"/>
      <c r="BO4" s="869"/>
      <c r="BP4" s="869"/>
      <c r="BQ4" s="869"/>
      <c r="BR4" s="869"/>
      <c r="BS4" s="869"/>
      <c r="BT4" s="869"/>
      <c r="BU4" s="869"/>
      <c r="BV4" s="869"/>
      <c r="BW4" s="869"/>
      <c r="BX4" s="869"/>
      <c r="BY4" s="869"/>
      <c r="BZ4" s="869"/>
    </row>
    <row r="5" spans="1:78" ht="14.4" x14ac:dyDescent="0.25">
      <c r="A5" s="870" t="s">
        <v>443</v>
      </c>
      <c r="B5" s="871"/>
      <c r="C5" s="872"/>
      <c r="D5" s="872"/>
      <c r="E5" s="872"/>
      <c r="F5" s="872"/>
      <c r="G5" s="872"/>
      <c r="H5" s="872"/>
      <c r="I5" s="872"/>
      <c r="J5" s="872"/>
      <c r="K5" s="872"/>
      <c r="L5" s="867"/>
      <c r="M5" s="867"/>
      <c r="X5" s="873"/>
      <c r="Y5" s="873"/>
      <c r="Z5" s="867"/>
      <c r="AA5" s="867"/>
      <c r="AB5" s="873"/>
      <c r="AC5" s="873"/>
      <c r="AD5" s="867"/>
      <c r="AE5" s="867"/>
      <c r="AN5" s="866"/>
      <c r="AO5" s="866"/>
      <c r="BA5" s="869"/>
      <c r="BB5" s="869"/>
      <c r="BC5" s="869"/>
      <c r="BD5" s="869"/>
      <c r="BE5" s="869"/>
      <c r="BF5" s="869"/>
      <c r="BG5" s="869"/>
      <c r="BH5" s="869"/>
      <c r="BI5" s="869"/>
      <c r="BJ5" s="869"/>
      <c r="BK5" s="869"/>
      <c r="BL5" s="869"/>
      <c r="BM5" s="869"/>
      <c r="BN5" s="869"/>
      <c r="BO5" s="869"/>
      <c r="BP5" s="869"/>
      <c r="BQ5" s="869"/>
      <c r="BR5" s="869"/>
      <c r="BS5" s="869"/>
      <c r="BT5" s="869"/>
      <c r="BU5" s="869"/>
      <c r="BV5" s="869"/>
      <c r="BW5" s="869"/>
      <c r="BX5" s="869"/>
      <c r="BY5" s="869"/>
      <c r="BZ5" s="869"/>
    </row>
    <row r="6" spans="1:78" ht="16.5" customHeight="1" x14ac:dyDescent="0.25">
      <c r="A6" s="307"/>
      <c r="B6" s="283"/>
      <c r="C6" s="283"/>
      <c r="D6" s="283" t="s">
        <v>57</v>
      </c>
      <c r="E6" s="283"/>
      <c r="F6" s="283"/>
      <c r="G6" s="283"/>
      <c r="H6" s="283"/>
      <c r="I6" s="283"/>
      <c r="J6" s="283"/>
      <c r="K6" s="284"/>
      <c r="L6" s="176"/>
      <c r="M6" s="176"/>
      <c r="Y6" s="866"/>
      <c r="Z6" s="868"/>
      <c r="AA6" s="868"/>
      <c r="AB6" s="866"/>
      <c r="AC6" s="866"/>
      <c r="AD6" s="868"/>
      <c r="AE6" s="868"/>
    </row>
    <row r="7" spans="1:78" ht="6.75" customHeight="1" x14ac:dyDescent="0.25">
      <c r="A7" s="657"/>
      <c r="B7" s="658"/>
      <c r="C7" s="244"/>
      <c r="D7" s="244"/>
      <c r="E7" s="244"/>
      <c r="F7" s="244"/>
      <c r="G7" s="244"/>
      <c r="H7" s="244"/>
      <c r="I7" s="244"/>
      <c r="J7" s="244"/>
      <c r="K7" s="245"/>
      <c r="L7" s="57"/>
      <c r="M7" s="57"/>
      <c r="Y7" s="866"/>
      <c r="Z7" s="868"/>
      <c r="AA7" s="868"/>
      <c r="AB7" s="866"/>
      <c r="AC7" s="866"/>
      <c r="AD7" s="868"/>
      <c r="AE7" s="868"/>
    </row>
    <row r="8" spans="1:78" ht="16.5" customHeight="1" x14ac:dyDescent="0.25">
      <c r="A8" s="305" t="s">
        <v>37</v>
      </c>
      <c r="B8" s="219" t="str">
        <f>'Y1'!B8</f>
        <v>enter PI name in this cell on Y1 tab</v>
      </c>
      <c r="C8" s="280"/>
      <c r="D8" s="246"/>
      <c r="E8" s="246"/>
      <c r="F8" s="246"/>
      <c r="G8" s="246"/>
      <c r="H8" s="246"/>
      <c r="I8" s="246"/>
      <c r="J8" s="246"/>
      <c r="K8" s="898" t="s">
        <v>450</v>
      </c>
      <c r="L8" s="57"/>
      <c r="M8" s="57"/>
      <c r="Y8" s="866"/>
      <c r="Z8" s="868"/>
      <c r="AA8" s="868"/>
      <c r="AB8" s="866"/>
      <c r="AC8" s="866"/>
      <c r="AD8" s="868"/>
      <c r="AE8" s="868"/>
    </row>
    <row r="9" spans="1:78" ht="16.5" customHeight="1" x14ac:dyDescent="0.25">
      <c r="A9" s="305" t="s">
        <v>38</v>
      </c>
      <c r="B9" s="219" t="str">
        <f>'Y1'!B9</f>
        <v>enter funding agency name in this cell on Y1 tab</v>
      </c>
      <c r="C9" s="280"/>
      <c r="D9" s="246"/>
      <c r="E9" s="246"/>
      <c r="F9" s="246"/>
      <c r="G9" s="246"/>
      <c r="H9" s="246"/>
      <c r="I9" s="246"/>
      <c r="J9" s="246"/>
      <c r="K9" s="285"/>
      <c r="L9" s="57"/>
      <c r="M9" s="57"/>
      <c r="Y9" s="866"/>
      <c r="Z9" s="868"/>
      <c r="AA9" s="868"/>
      <c r="AB9" s="866"/>
      <c r="AC9" s="866"/>
      <c r="AD9" s="868"/>
      <c r="AE9" s="868"/>
    </row>
    <row r="10" spans="1:78" s="904" customFormat="1" ht="16.5" customHeight="1" x14ac:dyDescent="0.25">
      <c r="A10" s="305" t="s">
        <v>39</v>
      </c>
      <c r="B10" s="219" t="str">
        <f>'Y1'!B10</f>
        <v>enter project title in this cell on Y1 tab</v>
      </c>
      <c r="C10" s="280"/>
      <c r="D10" s="275"/>
      <c r="E10" s="275"/>
      <c r="F10" s="275"/>
      <c r="G10" s="275"/>
      <c r="H10" s="275"/>
      <c r="I10" s="275"/>
      <c r="J10" s="275"/>
      <c r="K10" s="286"/>
      <c r="L10" s="19"/>
      <c r="M10" s="19"/>
      <c r="X10" s="912"/>
      <c r="Y10" s="912"/>
      <c r="Z10" s="911"/>
      <c r="AA10" s="911"/>
      <c r="AB10" s="912"/>
      <c r="AC10" s="912"/>
      <c r="AD10" s="911"/>
      <c r="AE10" s="911"/>
      <c r="AP10" s="912"/>
      <c r="AQ10" s="912"/>
      <c r="AR10" s="912"/>
      <c r="AS10" s="912"/>
      <c r="AT10" s="912"/>
      <c r="AU10" s="912"/>
      <c r="AV10" s="912"/>
      <c r="AW10" s="912"/>
      <c r="AX10" s="912"/>
      <c r="AY10" s="912"/>
      <c r="AZ10" s="912"/>
    </row>
    <row r="11" spans="1:78" s="904" customFormat="1" ht="16.5" customHeight="1" x14ac:dyDescent="0.25">
      <c r="A11" s="306" t="s">
        <v>40</v>
      </c>
      <c r="B11" s="304" t="s">
        <v>294</v>
      </c>
      <c r="C11" s="280"/>
      <c r="D11" s="275"/>
      <c r="E11" s="275"/>
      <c r="F11" s="275"/>
      <c r="G11" s="275"/>
      <c r="H11" s="275"/>
      <c r="I11" s="275"/>
      <c r="J11" s="275"/>
      <c r="K11" s="286"/>
      <c r="L11" s="19"/>
      <c r="M11" s="19"/>
      <c r="X11" s="912"/>
      <c r="Y11" s="912"/>
      <c r="Z11" s="911"/>
      <c r="AA11" s="911"/>
      <c r="AB11" s="912"/>
      <c r="AC11" s="912"/>
      <c r="AD11" s="911"/>
      <c r="AE11" s="911"/>
      <c r="AP11" s="912"/>
      <c r="AQ11" s="912"/>
      <c r="AR11" s="912"/>
      <c r="AS11" s="912"/>
      <c r="AT11" s="912"/>
      <c r="AU11" s="912"/>
      <c r="AV11" s="912"/>
      <c r="AW11" s="912"/>
      <c r="AX11" s="912"/>
      <c r="AY11" s="912"/>
      <c r="AZ11" s="912"/>
    </row>
    <row r="12" spans="1:78" s="904" customFormat="1" ht="16.5" customHeight="1" x14ac:dyDescent="0.25">
      <c r="A12" s="306" t="s">
        <v>41</v>
      </c>
      <c r="B12" s="219" t="str">
        <f>'Y1'!M8</f>
        <v>enter GCO # in this cell on Y1 tab</v>
      </c>
      <c r="C12" s="280"/>
      <c r="D12" s="275"/>
      <c r="E12" s="275"/>
      <c r="F12" s="275"/>
      <c r="G12" s="275"/>
      <c r="H12" s="275"/>
      <c r="I12" s="275"/>
      <c r="J12" s="275"/>
      <c r="K12" s="286"/>
      <c r="L12" s="19"/>
      <c r="M12" s="19"/>
      <c r="X12" s="912"/>
      <c r="Y12" s="912"/>
      <c r="Z12" s="911"/>
      <c r="AA12" s="911"/>
      <c r="AB12" s="912"/>
      <c r="AC12" s="912"/>
      <c r="AD12" s="911"/>
      <c r="AE12" s="911"/>
      <c r="AP12" s="912"/>
      <c r="AQ12" s="912"/>
      <c r="AR12" s="912"/>
      <c r="AS12" s="912"/>
      <c r="AT12" s="912"/>
      <c r="AU12" s="912"/>
      <c r="AV12" s="912"/>
      <c r="AW12" s="912"/>
      <c r="AX12" s="912"/>
      <c r="AY12" s="912"/>
      <c r="AZ12" s="912"/>
    </row>
    <row r="13" spans="1:78" s="904" customFormat="1" ht="16.5" customHeight="1" x14ac:dyDescent="0.25">
      <c r="A13" s="306" t="s">
        <v>42</v>
      </c>
      <c r="B13" s="219" t="str">
        <f>'Y1'!M9</f>
        <v>enter fund # in this cell on Y1 tab</v>
      </c>
      <c r="C13" s="280"/>
      <c r="D13" s="275"/>
      <c r="E13" s="275"/>
      <c r="F13" s="275"/>
      <c r="G13" s="275"/>
      <c r="H13" s="275"/>
      <c r="I13" s="275"/>
      <c r="J13" s="275"/>
      <c r="K13" s="286"/>
      <c r="L13" s="19"/>
      <c r="M13" s="19"/>
      <c r="N13" s="1570" t="s">
        <v>145</v>
      </c>
      <c r="O13" s="1571"/>
      <c r="P13" s="1572"/>
      <c r="R13" s="1573" t="s">
        <v>147</v>
      </c>
      <c r="S13" s="1574"/>
      <c r="T13" s="1574"/>
      <c r="U13" s="1574"/>
      <c r="V13" s="1574"/>
      <c r="W13" s="1575"/>
      <c r="X13" s="232"/>
      <c r="Y13" s="267"/>
      <c r="Z13" s="268"/>
      <c r="AA13" s="268"/>
      <c r="AB13" s="269"/>
      <c r="AC13" s="269"/>
      <c r="AD13" s="268"/>
      <c r="AE13" s="270"/>
      <c r="AP13" s="912"/>
      <c r="AQ13" s="912"/>
      <c r="AR13" s="912"/>
      <c r="AS13" s="912"/>
      <c r="AT13" s="912"/>
      <c r="AU13" s="912"/>
      <c r="AV13" s="912"/>
      <c r="AW13" s="912"/>
      <c r="AX13" s="912"/>
      <c r="AY13" s="912"/>
      <c r="AZ13" s="912"/>
    </row>
    <row r="14" spans="1:78" s="904" customFormat="1" ht="16.5" customHeight="1" x14ac:dyDescent="0.25">
      <c r="A14" s="306" t="s">
        <v>43</v>
      </c>
      <c r="B14" s="219" t="str">
        <f>'Y1'!M10</f>
        <v>enter agency # in this cell on Y1 tab</v>
      </c>
      <c r="C14" s="281"/>
      <c r="D14" s="275"/>
      <c r="E14" s="275"/>
      <c r="F14" s="275"/>
      <c r="G14" s="275"/>
      <c r="H14" s="275"/>
      <c r="I14" s="659"/>
      <c r="J14" s="659"/>
      <c r="K14" s="660"/>
      <c r="L14" s="19"/>
      <c r="M14" s="19"/>
      <c r="N14" s="233"/>
      <c r="O14" s="1557" t="s">
        <v>195</v>
      </c>
      <c r="P14" s="234"/>
      <c r="Q14" s="912"/>
      <c r="R14" s="235"/>
      <c r="S14" s="236"/>
      <c r="T14" s="237"/>
      <c r="U14" s="1499" t="s">
        <v>154</v>
      </c>
      <c r="V14" s="1576" t="s">
        <v>155</v>
      </c>
      <c r="W14" s="118"/>
      <c r="X14" s="239"/>
      <c r="Y14" s="1479" t="s">
        <v>162</v>
      </c>
      <c r="Z14" s="1480"/>
      <c r="AA14" s="1480"/>
      <c r="AB14" s="1480"/>
      <c r="AC14" s="1480"/>
      <c r="AD14" s="1480"/>
      <c r="AE14" s="1481"/>
      <c r="AG14" s="1548" t="s">
        <v>187</v>
      </c>
      <c r="AH14" s="1548"/>
      <c r="AI14" s="867"/>
      <c r="AJ14" s="1548" t="s">
        <v>187</v>
      </c>
      <c r="AK14" s="1548"/>
      <c r="AL14" s="867"/>
      <c r="AM14" s="1549" t="s">
        <v>187</v>
      </c>
      <c r="AN14" s="1549"/>
      <c r="AO14" s="867"/>
      <c r="AP14" s="912"/>
      <c r="AQ14" s="912"/>
      <c r="AR14" s="912"/>
      <c r="AS14" s="912"/>
      <c r="AT14" s="912"/>
      <c r="AU14" s="912"/>
      <c r="AV14" s="912"/>
      <c r="AW14" s="912"/>
      <c r="AX14" s="912"/>
      <c r="AY14" s="912"/>
      <c r="AZ14" s="912"/>
    </row>
    <row r="15" spans="1:78" s="904" customFormat="1" ht="16.5" customHeight="1" x14ac:dyDescent="0.3">
      <c r="A15" s="305" t="s">
        <v>105</v>
      </c>
      <c r="B15" s="659" t="s">
        <v>2</v>
      </c>
      <c r="C15" s="282"/>
      <c r="D15" s="275"/>
      <c r="E15" s="275"/>
      <c r="F15" s="275"/>
      <c r="G15" s="275"/>
      <c r="H15" s="275"/>
      <c r="I15" s="699" t="s">
        <v>44</v>
      </c>
      <c r="J15" s="699"/>
      <c r="K15" s="699"/>
      <c r="L15" s="19"/>
      <c r="M15" s="19"/>
      <c r="N15" s="233"/>
      <c r="O15" s="1557"/>
      <c r="P15" s="234"/>
      <c r="Q15" s="912"/>
      <c r="R15" s="1553" t="s">
        <v>148</v>
      </c>
      <c r="S15" s="1499" t="s">
        <v>151</v>
      </c>
      <c r="T15" s="1499" t="s">
        <v>152</v>
      </c>
      <c r="U15" s="1499"/>
      <c r="V15" s="1576"/>
      <c r="W15" s="118"/>
      <c r="X15" s="239"/>
      <c r="Y15" s="1479"/>
      <c r="Z15" s="1480"/>
      <c r="AA15" s="1480"/>
      <c r="AB15" s="1480"/>
      <c r="AC15" s="1480"/>
      <c r="AD15" s="1480"/>
      <c r="AE15" s="1481"/>
      <c r="AG15" s="138" t="s">
        <v>157</v>
      </c>
      <c r="AH15" s="138" t="s">
        <v>158</v>
      </c>
      <c r="AI15" s="9"/>
      <c r="AJ15" s="138" t="s">
        <v>157</v>
      </c>
      <c r="AK15" s="138" t="s">
        <v>158</v>
      </c>
      <c r="AL15" s="867"/>
      <c r="AM15" s="138" t="s">
        <v>157</v>
      </c>
      <c r="AN15" s="138" t="s">
        <v>158</v>
      </c>
      <c r="AO15" s="904" t="s">
        <v>4</v>
      </c>
      <c r="AP15" s="912"/>
      <c r="AQ15" s="912"/>
      <c r="AR15" s="912"/>
      <c r="AS15" s="912"/>
      <c r="AT15" s="912"/>
      <c r="AU15" s="912"/>
      <c r="AV15" s="912"/>
      <c r="AW15" s="912"/>
      <c r="AX15" s="912"/>
      <c r="AY15" s="912"/>
      <c r="AZ15" s="912"/>
    </row>
    <row r="16" spans="1:78" ht="16.5" customHeight="1" x14ac:dyDescent="0.25">
      <c r="A16" s="866"/>
      <c r="B16" s="529"/>
      <c r="C16" s="262"/>
      <c r="D16" s="262"/>
      <c r="E16" s="262"/>
      <c r="F16" s="262"/>
      <c r="G16" s="262"/>
      <c r="H16" s="262"/>
      <c r="I16" s="661" t="s">
        <v>22</v>
      </c>
      <c r="J16" s="661"/>
      <c r="K16" s="662">
        <v>0.28000000000000003</v>
      </c>
      <c r="L16" s="177"/>
      <c r="M16" s="177"/>
      <c r="N16" s="1555" t="s">
        <v>141</v>
      </c>
      <c r="O16" s="1557"/>
      <c r="P16" s="240"/>
      <c r="Q16" s="866"/>
      <c r="R16" s="1553"/>
      <c r="S16" s="1499"/>
      <c r="T16" s="1499"/>
      <c r="U16" s="1499"/>
      <c r="V16" s="1576"/>
      <c r="W16" s="118"/>
      <c r="X16" s="239"/>
      <c r="Y16" s="271"/>
      <c r="Z16" s="272"/>
      <c r="AA16" s="272"/>
      <c r="AB16" s="262"/>
      <c r="AC16" s="262"/>
      <c r="AD16" s="272"/>
      <c r="AE16" s="273"/>
    </row>
    <row r="17" spans="1:41" ht="16.5" customHeight="1" x14ac:dyDescent="0.25">
      <c r="A17" s="604" t="s">
        <v>28</v>
      </c>
      <c r="B17" s="605"/>
      <c r="C17" s="329"/>
      <c r="D17" s="329"/>
      <c r="E17" s="329"/>
      <c r="F17" s="329"/>
      <c r="G17" s="329"/>
      <c r="H17" s="329"/>
      <c r="I17" s="663" t="s">
        <v>21</v>
      </c>
      <c r="J17" s="663"/>
      <c r="K17" s="664">
        <v>0.28999999999999998</v>
      </c>
      <c r="L17" s="177"/>
      <c r="M17" s="177"/>
      <c r="N17" s="1555"/>
      <c r="O17" s="1557"/>
      <c r="P17" s="240"/>
      <c r="Q17" s="866"/>
      <c r="R17" s="1553"/>
      <c r="S17" s="1499"/>
      <c r="T17" s="1499"/>
      <c r="U17" s="1499"/>
      <c r="V17" s="1576"/>
      <c r="W17" s="118"/>
      <c r="X17" s="239"/>
      <c r="Y17" s="274"/>
      <c r="Z17" s="272"/>
      <c r="AA17" s="275" t="s">
        <v>31</v>
      </c>
      <c r="AB17" s="262"/>
      <c r="AC17" s="275" t="s">
        <v>185</v>
      </c>
      <c r="AD17" s="272" t="s">
        <v>203</v>
      </c>
      <c r="AE17" s="273" t="s">
        <v>204</v>
      </c>
      <c r="AG17" s="64" t="s">
        <v>31</v>
      </c>
    </row>
    <row r="18" spans="1:41" ht="16.5" customHeight="1" x14ac:dyDescent="0.25">
      <c r="A18" s="341" t="s">
        <v>5</v>
      </c>
      <c r="B18" s="529"/>
      <c r="C18" s="331"/>
      <c r="D18" s="1559" t="s">
        <v>143</v>
      </c>
      <c r="E18" s="1559"/>
      <c r="F18" s="1559" t="s">
        <v>144</v>
      </c>
      <c r="G18" s="1559"/>
      <c r="H18" s="262"/>
      <c r="I18" s="866"/>
      <c r="J18" s="866"/>
      <c r="K18" s="332" t="s">
        <v>160</v>
      </c>
      <c r="L18" s="178"/>
      <c r="M18" s="178"/>
      <c r="N18" s="1556"/>
      <c r="O18" s="1558"/>
      <c r="P18" s="241" t="s">
        <v>131</v>
      </c>
      <c r="Q18" s="866"/>
      <c r="R18" s="1554"/>
      <c r="S18" s="1500"/>
      <c r="T18" s="1500"/>
      <c r="U18" s="1500"/>
      <c r="V18" s="1577"/>
      <c r="W18" s="165"/>
      <c r="X18" s="239"/>
      <c r="Y18" s="274"/>
      <c r="Z18" s="276"/>
      <c r="AA18" s="276"/>
      <c r="AB18" s="277" t="s">
        <v>36</v>
      </c>
      <c r="AC18" s="275" t="s">
        <v>186</v>
      </c>
      <c r="AD18" s="278" t="s">
        <v>136</v>
      </c>
      <c r="AE18" s="279" t="s">
        <v>137</v>
      </c>
    </row>
    <row r="19" spans="1:41" ht="30" customHeight="1" thickBot="1" x14ac:dyDescent="0.3">
      <c r="A19" s="606" t="s">
        <v>36</v>
      </c>
      <c r="B19" s="607" t="s">
        <v>25</v>
      </c>
      <c r="C19" s="333" t="s">
        <v>27</v>
      </c>
      <c r="D19" s="333" t="s">
        <v>6</v>
      </c>
      <c r="E19" s="333" t="s">
        <v>20</v>
      </c>
      <c r="F19" s="333" t="s">
        <v>6</v>
      </c>
      <c r="G19" s="333" t="s">
        <v>20</v>
      </c>
      <c r="H19" s="334" t="s">
        <v>7</v>
      </c>
      <c r="I19" s="334" t="s">
        <v>54</v>
      </c>
      <c r="J19" s="334" t="s">
        <v>55</v>
      </c>
      <c r="K19" s="335" t="s">
        <v>8</v>
      </c>
      <c r="L19" s="179"/>
      <c r="M19" s="179"/>
      <c r="N19" s="243"/>
      <c r="O19" s="244"/>
      <c r="P19" s="245"/>
      <c r="Q19" s="866"/>
      <c r="R19" s="243"/>
      <c r="S19" s="244"/>
      <c r="T19" s="244"/>
      <c r="U19" s="244"/>
      <c r="V19" s="11"/>
      <c r="W19" s="111"/>
      <c r="X19" s="246"/>
      <c r="Y19" s="488"/>
      <c r="Z19" s="489"/>
      <c r="AA19" s="490"/>
      <c r="AB19" s="491"/>
      <c r="AC19" s="1465" t="s">
        <v>160</v>
      </c>
      <c r="AD19" s="1465"/>
      <c r="AE19" s="1466"/>
      <c r="AG19" s="1472" t="s">
        <v>159</v>
      </c>
      <c r="AH19" s="1472"/>
      <c r="AJ19" s="1473" t="s">
        <v>160</v>
      </c>
      <c r="AK19" s="1473"/>
      <c r="AM19" s="1474" t="s">
        <v>161</v>
      </c>
      <c r="AN19" s="1474"/>
      <c r="AO19" s="1474"/>
    </row>
    <row r="20" spans="1:41" ht="16.5" customHeight="1" thickTop="1" thickBot="1" x14ac:dyDescent="0.3">
      <c r="A20" s="910"/>
      <c r="B20" s="226"/>
      <c r="C20" s="227"/>
      <c r="D20" s="875"/>
      <c r="E20" s="224">
        <f t="shared" ref="E20:E27" si="0">D20*12</f>
        <v>0</v>
      </c>
      <c r="F20" s="223" t="str">
        <f t="shared" ref="F20:F27" si="1">IF(N20=12, "n/a ", IF(AND(N20&lt;12, O20="Yes"), "n/a", D20*P20))</f>
        <v xml:space="preserve">n/a </v>
      </c>
      <c r="G20" s="224" t="str">
        <f t="shared" ref="G20:G27" si="2">IF(N20=12,"n/a",IF(AND(N20&lt;12,O20="Yes"),"n/a",F20*12))</f>
        <v>n/a</v>
      </c>
      <c r="H20" s="398">
        <f>IF(AND(E113="Yes",C20&gt;F123),F123*D20*P20,IF(AND(N20=12,R20="Yes"),C20*U20,IF(AND(N20&lt;12,R20="Yes"),C20*P20*U20,C20*D20*P20)))</f>
        <v>0</v>
      </c>
      <c r="I20" s="223">
        <f t="shared" ref="I20:I27" si="3">IF(AND($C$283="No",$I$225="No"),$J$226,IF(AND($C$283="No",$I$225="Yes"),$K$17,$K$16))</f>
        <v>0.28000000000000003</v>
      </c>
      <c r="J20" s="398">
        <f t="shared" ref="J20:J27" si="4">H20*I20</f>
        <v>0</v>
      </c>
      <c r="K20" s="513">
        <f t="shared" ref="K20:K27" si="5">H20+J20</f>
        <v>0</v>
      </c>
      <c r="L20" s="25"/>
      <c r="M20" s="25"/>
      <c r="N20" s="836">
        <v>12</v>
      </c>
      <c r="O20" s="876" t="s">
        <v>60</v>
      </c>
      <c r="P20" s="637">
        <f t="shared" ref="P20:P27" si="6">N20/12</f>
        <v>1</v>
      </c>
      <c r="Q20" s="866"/>
      <c r="R20" s="877" t="s">
        <v>60</v>
      </c>
      <c r="S20" s="886" t="str">
        <f t="shared" ref="S20:S27" si="7">IF(R20="No", " ", U20/D20)</f>
        <v xml:space="preserve"> </v>
      </c>
      <c r="T20" s="887" t="str">
        <f>IF(R20="No", " ", 1-S20)</f>
        <v xml:space="preserve"> </v>
      </c>
      <c r="U20" s="846"/>
      <c r="V20" s="119" t="str">
        <f>IF(AND(N20=12,R20="Yes"),D20-U20,IF(AND(N20&lt;12,R20="Yes"),F20-U20," "))</f>
        <v xml:space="preserve"> </v>
      </c>
      <c r="W20" s="166" t="str">
        <f>IF(AND(N20=12,R20="Yes",U20&gt;D20),"ERROR",IF(AND(N20&lt;12,R20="Yes",U20&gt;F20),"ERROR"," "))</f>
        <v xml:space="preserve"> </v>
      </c>
      <c r="X20" s="697"/>
      <c r="Y20" s="258"/>
      <c r="Z20" s="259"/>
      <c r="AA20" s="259"/>
      <c r="AB20" s="302">
        <f t="shared" ref="AB20:AB27" si="8">A20</f>
        <v>0</v>
      </c>
      <c r="AC20" s="303">
        <f t="shared" ref="AC20:AC27" si="9">K20</f>
        <v>0</v>
      </c>
      <c r="AD20" s="837"/>
      <c r="AE20" s="264">
        <f>1-AD20</f>
        <v>1</v>
      </c>
      <c r="AG20" s="4">
        <f t="shared" ref="AG20:AG27" si="10">K20*Z20</f>
        <v>0</v>
      </c>
      <c r="AH20" s="4">
        <f t="shared" ref="AH20:AH27" si="11">K20*AA20</f>
        <v>0</v>
      </c>
      <c r="AJ20" s="4">
        <f t="shared" ref="AJ20:AJ27" si="12">K20*AD20</f>
        <v>0</v>
      </c>
      <c r="AK20" s="4">
        <f t="shared" ref="AK20:AK27" si="13">K20*AE20</f>
        <v>0</v>
      </c>
      <c r="AM20" s="4">
        <f t="shared" ref="AM20:AN27" si="14">AG20+AJ20</f>
        <v>0</v>
      </c>
      <c r="AN20" s="4">
        <f t="shared" si="14"/>
        <v>0</v>
      </c>
      <c r="AO20" s="4">
        <f>AM20+AN20</f>
        <v>0</v>
      </c>
    </row>
    <row r="21" spans="1:41" ht="16.5" customHeight="1" thickTop="1" thickBot="1" x14ac:dyDescent="0.3">
      <c r="A21" s="910"/>
      <c r="B21" s="226"/>
      <c r="C21" s="227"/>
      <c r="D21" s="875"/>
      <c r="E21" s="224">
        <f t="shared" si="0"/>
        <v>0</v>
      </c>
      <c r="F21" s="223" t="str">
        <f t="shared" si="1"/>
        <v xml:space="preserve">n/a </v>
      </c>
      <c r="G21" s="224" t="str">
        <f t="shared" si="2"/>
        <v>n/a</v>
      </c>
      <c r="H21" s="398">
        <f>IF(AND(N21=12,R21="Yes"),C21*U21,IF(AND(N21&lt;12,R21="Yes"),C21*P21*U21,IF(AND(O21="Yes",R21="No"),C21*D21*P21,C21*D21*P21)))</f>
        <v>0</v>
      </c>
      <c r="I21" s="223">
        <f t="shared" si="3"/>
        <v>0.28000000000000003</v>
      </c>
      <c r="J21" s="398">
        <f t="shared" si="4"/>
        <v>0</v>
      </c>
      <c r="K21" s="513">
        <f t="shared" si="5"/>
        <v>0</v>
      </c>
      <c r="L21" s="25"/>
      <c r="M21" s="25"/>
      <c r="N21" s="836">
        <v>12</v>
      </c>
      <c r="O21" s="876" t="s">
        <v>60</v>
      </c>
      <c r="P21" s="637">
        <f t="shared" si="6"/>
        <v>1</v>
      </c>
      <c r="Q21" s="866"/>
      <c r="R21" s="877" t="s">
        <v>60</v>
      </c>
      <c r="S21" s="886" t="str">
        <f t="shared" si="7"/>
        <v xml:space="preserve"> </v>
      </c>
      <c r="T21" s="888" t="str">
        <f t="shared" ref="T21:T27" si="15">IF(R21="No", " ", 1-S21)</f>
        <v xml:space="preserve"> </v>
      </c>
      <c r="U21" s="846"/>
      <c r="V21" s="119" t="str">
        <f>IF(AND(N21=12,R21="Yes"),D21-U21,IF(AND(N21&lt;12,R21="Yes"),F21-U21," "))</f>
        <v xml:space="preserve"> </v>
      </c>
      <c r="W21" s="151" t="str">
        <f>IF(AND(N21=12,R21="Yes",U21&gt;D21),"ERROR",IF(AND(N21&lt;12,R21="Yes",U21&gt;F21),"ERROR"," "))</f>
        <v xml:space="preserve"> </v>
      </c>
      <c r="X21" s="697"/>
      <c r="Y21" s="258"/>
      <c r="Z21" s="259"/>
      <c r="AA21" s="259"/>
      <c r="AB21" s="302">
        <f t="shared" si="8"/>
        <v>0</v>
      </c>
      <c r="AC21" s="303">
        <f t="shared" si="9"/>
        <v>0</v>
      </c>
      <c r="AD21" s="837"/>
      <c r="AE21" s="264">
        <f t="shared" ref="AE21:AE27" si="16">1-AD21</f>
        <v>1</v>
      </c>
      <c r="AG21" s="4">
        <f t="shared" si="10"/>
        <v>0</v>
      </c>
      <c r="AH21" s="4">
        <f t="shared" si="11"/>
        <v>0</v>
      </c>
      <c r="AJ21" s="4">
        <f t="shared" si="12"/>
        <v>0</v>
      </c>
      <c r="AK21" s="4">
        <f t="shared" si="13"/>
        <v>0</v>
      </c>
      <c r="AM21" s="4">
        <f t="shared" si="14"/>
        <v>0</v>
      </c>
      <c r="AN21" s="4">
        <f t="shared" si="14"/>
        <v>0</v>
      </c>
      <c r="AO21" s="4">
        <f t="shared" ref="AO21:AO28" si="17">AM21+AN21</f>
        <v>0</v>
      </c>
    </row>
    <row r="22" spans="1:41" ht="16.5" customHeight="1" thickTop="1" thickBot="1" x14ac:dyDescent="0.3">
      <c r="A22" s="910"/>
      <c r="B22" s="226"/>
      <c r="C22" s="227"/>
      <c r="D22" s="875"/>
      <c r="E22" s="224">
        <f t="shared" si="0"/>
        <v>0</v>
      </c>
      <c r="F22" s="223" t="str">
        <f t="shared" si="1"/>
        <v xml:space="preserve">n/a </v>
      </c>
      <c r="G22" s="224" t="str">
        <f t="shared" si="2"/>
        <v>n/a</v>
      </c>
      <c r="H22" s="398">
        <f t="shared" ref="H22:H27" si="18">IF(AND(N22=12,R22="Yes"),C22*U22,IF(AND(N22&lt;12,R22="Yes"),C22*P22*U22,IF(AND(O22="Yes",R22="No"),C22*D22*P22,C22*D22*P22)))</f>
        <v>0</v>
      </c>
      <c r="I22" s="223">
        <f t="shared" si="3"/>
        <v>0.28000000000000003</v>
      </c>
      <c r="J22" s="398">
        <f t="shared" si="4"/>
        <v>0</v>
      </c>
      <c r="K22" s="513">
        <f t="shared" si="5"/>
        <v>0</v>
      </c>
      <c r="L22" s="25"/>
      <c r="M22" s="25"/>
      <c r="N22" s="836">
        <v>12</v>
      </c>
      <c r="O22" s="876" t="s">
        <v>60</v>
      </c>
      <c r="P22" s="637">
        <f t="shared" si="6"/>
        <v>1</v>
      </c>
      <c r="Q22" s="866"/>
      <c r="R22" s="877" t="s">
        <v>60</v>
      </c>
      <c r="S22" s="886" t="str">
        <f t="shared" si="7"/>
        <v xml:space="preserve"> </v>
      </c>
      <c r="T22" s="888" t="str">
        <f t="shared" si="15"/>
        <v xml:space="preserve"> </v>
      </c>
      <c r="U22" s="846"/>
      <c r="V22" s="119" t="str">
        <f t="shared" ref="V22:V27" si="19">IF(AND(N22=12,R22="Yes"),D22-U22,IF(AND(N22&lt;12,R22="Yes"),F22-U22," "))</f>
        <v xml:space="preserve"> </v>
      </c>
      <c r="W22" s="151" t="str">
        <f t="shared" ref="W22:W27" si="20">IF(AND(N22=12,R22="Yes",U22&gt;D22),"ERROR",IF(AND(N22&lt;12,R22="Yes",U22&gt;F22),"ERROR"," "))</f>
        <v xml:space="preserve"> </v>
      </c>
      <c r="X22" s="697"/>
      <c r="Y22" s="258"/>
      <c r="Z22" s="259"/>
      <c r="AA22" s="259"/>
      <c r="AB22" s="302">
        <f t="shared" si="8"/>
        <v>0</v>
      </c>
      <c r="AC22" s="303">
        <f t="shared" si="9"/>
        <v>0</v>
      </c>
      <c r="AD22" s="837"/>
      <c r="AE22" s="264">
        <f t="shared" si="16"/>
        <v>1</v>
      </c>
      <c r="AG22" s="4">
        <f t="shared" si="10"/>
        <v>0</v>
      </c>
      <c r="AH22" s="4">
        <f t="shared" si="11"/>
        <v>0</v>
      </c>
      <c r="AJ22" s="4">
        <f t="shared" si="12"/>
        <v>0</v>
      </c>
      <c r="AK22" s="4">
        <f t="shared" si="13"/>
        <v>0</v>
      </c>
      <c r="AM22" s="4">
        <f t="shared" si="14"/>
        <v>0</v>
      </c>
      <c r="AN22" s="4">
        <f t="shared" si="14"/>
        <v>0</v>
      </c>
      <c r="AO22" s="4">
        <f t="shared" si="17"/>
        <v>0</v>
      </c>
    </row>
    <row r="23" spans="1:41" ht="16.5" customHeight="1" thickTop="1" thickBot="1" x14ac:dyDescent="0.3">
      <c r="A23" s="910"/>
      <c r="B23" s="226"/>
      <c r="C23" s="227"/>
      <c r="D23" s="875"/>
      <c r="E23" s="224">
        <f t="shared" si="0"/>
        <v>0</v>
      </c>
      <c r="F23" s="223" t="str">
        <f t="shared" si="1"/>
        <v xml:space="preserve">n/a </v>
      </c>
      <c r="G23" s="224" t="str">
        <f t="shared" si="2"/>
        <v>n/a</v>
      </c>
      <c r="H23" s="398">
        <f t="shared" si="18"/>
        <v>0</v>
      </c>
      <c r="I23" s="223">
        <f t="shared" si="3"/>
        <v>0.28000000000000003</v>
      </c>
      <c r="J23" s="398">
        <f t="shared" si="4"/>
        <v>0</v>
      </c>
      <c r="K23" s="513">
        <f t="shared" si="5"/>
        <v>0</v>
      </c>
      <c r="L23" s="25"/>
      <c r="M23" s="25"/>
      <c r="N23" s="836">
        <v>12</v>
      </c>
      <c r="O23" s="876" t="s">
        <v>60</v>
      </c>
      <c r="P23" s="637">
        <f t="shared" si="6"/>
        <v>1</v>
      </c>
      <c r="Q23" s="866"/>
      <c r="R23" s="877" t="s">
        <v>60</v>
      </c>
      <c r="S23" s="886" t="str">
        <f t="shared" si="7"/>
        <v xml:space="preserve"> </v>
      </c>
      <c r="T23" s="888" t="str">
        <f t="shared" si="15"/>
        <v xml:space="preserve"> </v>
      </c>
      <c r="U23" s="846"/>
      <c r="V23" s="119" t="str">
        <f t="shared" si="19"/>
        <v xml:space="preserve"> </v>
      </c>
      <c r="W23" s="151" t="str">
        <f t="shared" si="20"/>
        <v xml:space="preserve"> </v>
      </c>
      <c r="X23" s="697"/>
      <c r="Y23" s="258"/>
      <c r="Z23" s="259"/>
      <c r="AA23" s="259"/>
      <c r="AB23" s="302">
        <f t="shared" si="8"/>
        <v>0</v>
      </c>
      <c r="AC23" s="303">
        <f t="shared" si="9"/>
        <v>0</v>
      </c>
      <c r="AD23" s="837"/>
      <c r="AE23" s="264">
        <f t="shared" si="16"/>
        <v>1</v>
      </c>
      <c r="AG23" s="4">
        <f t="shared" si="10"/>
        <v>0</v>
      </c>
      <c r="AH23" s="4">
        <f t="shared" si="11"/>
        <v>0</v>
      </c>
      <c r="AJ23" s="4">
        <f t="shared" si="12"/>
        <v>0</v>
      </c>
      <c r="AK23" s="4">
        <f t="shared" si="13"/>
        <v>0</v>
      </c>
      <c r="AM23" s="4">
        <f t="shared" si="14"/>
        <v>0</v>
      </c>
      <c r="AN23" s="4">
        <f t="shared" si="14"/>
        <v>0</v>
      </c>
      <c r="AO23" s="4">
        <f t="shared" si="17"/>
        <v>0</v>
      </c>
    </row>
    <row r="24" spans="1:41" ht="16.5" customHeight="1" thickTop="1" thickBot="1" x14ac:dyDescent="0.3">
      <c r="A24" s="910"/>
      <c r="B24" s="226"/>
      <c r="C24" s="227"/>
      <c r="D24" s="875"/>
      <c r="E24" s="224">
        <f t="shared" si="0"/>
        <v>0</v>
      </c>
      <c r="F24" s="223" t="str">
        <f t="shared" si="1"/>
        <v xml:space="preserve">n/a </v>
      </c>
      <c r="G24" s="224" t="str">
        <f t="shared" si="2"/>
        <v>n/a</v>
      </c>
      <c r="H24" s="398">
        <f t="shared" si="18"/>
        <v>0</v>
      </c>
      <c r="I24" s="223">
        <f t="shared" si="3"/>
        <v>0.28000000000000003</v>
      </c>
      <c r="J24" s="398">
        <f t="shared" si="4"/>
        <v>0</v>
      </c>
      <c r="K24" s="513">
        <f t="shared" si="5"/>
        <v>0</v>
      </c>
      <c r="L24" s="25"/>
      <c r="M24" s="25"/>
      <c r="N24" s="836">
        <v>12</v>
      </c>
      <c r="O24" s="876" t="s">
        <v>60</v>
      </c>
      <c r="P24" s="637">
        <f t="shared" si="6"/>
        <v>1</v>
      </c>
      <c r="Q24" s="866"/>
      <c r="R24" s="877" t="s">
        <v>60</v>
      </c>
      <c r="S24" s="886" t="str">
        <f t="shared" si="7"/>
        <v xml:space="preserve"> </v>
      </c>
      <c r="T24" s="888" t="str">
        <f t="shared" si="15"/>
        <v xml:space="preserve"> </v>
      </c>
      <c r="U24" s="846"/>
      <c r="V24" s="119" t="str">
        <f t="shared" si="19"/>
        <v xml:space="preserve"> </v>
      </c>
      <c r="W24" s="151" t="str">
        <f t="shared" si="20"/>
        <v xml:space="preserve"> </v>
      </c>
      <c r="X24" s="697"/>
      <c r="Y24" s="258"/>
      <c r="Z24" s="259"/>
      <c r="AA24" s="259"/>
      <c r="AB24" s="302">
        <f t="shared" si="8"/>
        <v>0</v>
      </c>
      <c r="AC24" s="303">
        <f t="shared" si="9"/>
        <v>0</v>
      </c>
      <c r="AD24" s="837"/>
      <c r="AE24" s="264">
        <f t="shared" si="16"/>
        <v>1</v>
      </c>
      <c r="AG24" s="4">
        <f t="shared" si="10"/>
        <v>0</v>
      </c>
      <c r="AH24" s="4">
        <f t="shared" si="11"/>
        <v>0</v>
      </c>
      <c r="AJ24" s="4">
        <f t="shared" si="12"/>
        <v>0</v>
      </c>
      <c r="AK24" s="4">
        <f t="shared" si="13"/>
        <v>0</v>
      </c>
      <c r="AM24" s="4">
        <f t="shared" si="14"/>
        <v>0</v>
      </c>
      <c r="AN24" s="4">
        <f t="shared" si="14"/>
        <v>0</v>
      </c>
      <c r="AO24" s="4">
        <f t="shared" si="17"/>
        <v>0</v>
      </c>
    </row>
    <row r="25" spans="1:41" ht="16.5" customHeight="1" thickTop="1" thickBot="1" x14ac:dyDescent="0.3">
      <c r="A25" s="910"/>
      <c r="B25" s="226"/>
      <c r="C25" s="227"/>
      <c r="D25" s="875"/>
      <c r="E25" s="224">
        <f t="shared" si="0"/>
        <v>0</v>
      </c>
      <c r="F25" s="223" t="str">
        <f t="shared" si="1"/>
        <v xml:space="preserve">n/a </v>
      </c>
      <c r="G25" s="224" t="str">
        <f t="shared" si="2"/>
        <v>n/a</v>
      </c>
      <c r="H25" s="398">
        <f t="shared" si="18"/>
        <v>0</v>
      </c>
      <c r="I25" s="223">
        <f t="shared" si="3"/>
        <v>0.28000000000000003</v>
      </c>
      <c r="J25" s="398">
        <f t="shared" si="4"/>
        <v>0</v>
      </c>
      <c r="K25" s="513">
        <f t="shared" si="5"/>
        <v>0</v>
      </c>
      <c r="L25" s="25"/>
      <c r="M25" s="25"/>
      <c r="N25" s="836">
        <v>12</v>
      </c>
      <c r="O25" s="876" t="s">
        <v>60</v>
      </c>
      <c r="P25" s="637">
        <f t="shared" si="6"/>
        <v>1</v>
      </c>
      <c r="Q25" s="866"/>
      <c r="R25" s="877" t="s">
        <v>60</v>
      </c>
      <c r="S25" s="886" t="str">
        <f t="shared" si="7"/>
        <v xml:space="preserve"> </v>
      </c>
      <c r="T25" s="888" t="str">
        <f t="shared" si="15"/>
        <v xml:space="preserve"> </v>
      </c>
      <c r="U25" s="846"/>
      <c r="V25" s="119" t="str">
        <f t="shared" si="19"/>
        <v xml:space="preserve"> </v>
      </c>
      <c r="W25" s="151" t="str">
        <f t="shared" si="20"/>
        <v xml:space="preserve"> </v>
      </c>
      <c r="X25" s="697"/>
      <c r="Y25" s="258"/>
      <c r="Z25" s="259"/>
      <c r="AA25" s="259"/>
      <c r="AB25" s="302">
        <f t="shared" si="8"/>
        <v>0</v>
      </c>
      <c r="AC25" s="303">
        <f t="shared" si="9"/>
        <v>0</v>
      </c>
      <c r="AD25" s="837"/>
      <c r="AE25" s="264">
        <f t="shared" si="16"/>
        <v>1</v>
      </c>
      <c r="AG25" s="4">
        <f t="shared" si="10"/>
        <v>0</v>
      </c>
      <c r="AH25" s="4">
        <f t="shared" si="11"/>
        <v>0</v>
      </c>
      <c r="AJ25" s="4">
        <f t="shared" si="12"/>
        <v>0</v>
      </c>
      <c r="AK25" s="4">
        <f t="shared" si="13"/>
        <v>0</v>
      </c>
      <c r="AM25" s="4">
        <f t="shared" si="14"/>
        <v>0</v>
      </c>
      <c r="AN25" s="4">
        <f t="shared" si="14"/>
        <v>0</v>
      </c>
      <c r="AO25" s="4">
        <f t="shared" si="17"/>
        <v>0</v>
      </c>
    </row>
    <row r="26" spans="1:41" ht="16.5" customHeight="1" thickTop="1" thickBot="1" x14ac:dyDescent="0.3">
      <c r="A26" s="910"/>
      <c r="B26" s="226"/>
      <c r="C26" s="227"/>
      <c r="D26" s="875"/>
      <c r="E26" s="224">
        <f t="shared" si="0"/>
        <v>0</v>
      </c>
      <c r="F26" s="223" t="str">
        <f t="shared" si="1"/>
        <v xml:space="preserve">n/a </v>
      </c>
      <c r="G26" s="224" t="str">
        <f t="shared" si="2"/>
        <v>n/a</v>
      </c>
      <c r="H26" s="398">
        <f t="shared" si="18"/>
        <v>0</v>
      </c>
      <c r="I26" s="223">
        <f t="shared" si="3"/>
        <v>0.28000000000000003</v>
      </c>
      <c r="J26" s="398">
        <f t="shared" si="4"/>
        <v>0</v>
      </c>
      <c r="K26" s="513">
        <f t="shared" si="5"/>
        <v>0</v>
      </c>
      <c r="L26" s="25"/>
      <c r="M26" s="25"/>
      <c r="N26" s="836">
        <v>12</v>
      </c>
      <c r="O26" s="876" t="s">
        <v>60</v>
      </c>
      <c r="P26" s="637">
        <f t="shared" si="6"/>
        <v>1</v>
      </c>
      <c r="Q26" s="866"/>
      <c r="R26" s="877" t="s">
        <v>60</v>
      </c>
      <c r="S26" s="886" t="str">
        <f t="shared" si="7"/>
        <v xml:space="preserve"> </v>
      </c>
      <c r="T26" s="888" t="str">
        <f t="shared" si="15"/>
        <v xml:space="preserve"> </v>
      </c>
      <c r="U26" s="846"/>
      <c r="V26" s="119" t="str">
        <f t="shared" si="19"/>
        <v xml:space="preserve"> </v>
      </c>
      <c r="W26" s="151" t="str">
        <f t="shared" si="20"/>
        <v xml:space="preserve"> </v>
      </c>
      <c r="X26" s="697"/>
      <c r="Y26" s="258"/>
      <c r="Z26" s="259"/>
      <c r="AA26" s="259"/>
      <c r="AB26" s="302">
        <f t="shared" si="8"/>
        <v>0</v>
      </c>
      <c r="AC26" s="303">
        <f t="shared" si="9"/>
        <v>0</v>
      </c>
      <c r="AD26" s="837"/>
      <c r="AE26" s="264">
        <f t="shared" si="16"/>
        <v>1</v>
      </c>
      <c r="AG26" s="4">
        <f t="shared" si="10"/>
        <v>0</v>
      </c>
      <c r="AH26" s="4">
        <f t="shared" si="11"/>
        <v>0</v>
      </c>
      <c r="AJ26" s="4">
        <f t="shared" si="12"/>
        <v>0</v>
      </c>
      <c r="AK26" s="4">
        <f t="shared" si="13"/>
        <v>0</v>
      </c>
      <c r="AM26" s="4">
        <f t="shared" si="14"/>
        <v>0</v>
      </c>
      <c r="AN26" s="4">
        <f t="shared" si="14"/>
        <v>0</v>
      </c>
      <c r="AO26" s="4">
        <f t="shared" si="17"/>
        <v>0</v>
      </c>
    </row>
    <row r="27" spans="1:41" ht="16.5" customHeight="1" thickTop="1" x14ac:dyDescent="0.25">
      <c r="A27" s="910"/>
      <c r="B27" s="226"/>
      <c r="C27" s="227"/>
      <c r="D27" s="229"/>
      <c r="E27" s="224">
        <f t="shared" si="0"/>
        <v>0</v>
      </c>
      <c r="F27" s="223" t="str">
        <f t="shared" si="1"/>
        <v xml:space="preserve">n/a </v>
      </c>
      <c r="G27" s="224" t="str">
        <f t="shared" si="2"/>
        <v>n/a</v>
      </c>
      <c r="H27" s="398">
        <f t="shared" si="18"/>
        <v>0</v>
      </c>
      <c r="I27" s="223">
        <f t="shared" si="3"/>
        <v>0.28000000000000003</v>
      </c>
      <c r="J27" s="398">
        <f t="shared" si="4"/>
        <v>0</v>
      </c>
      <c r="K27" s="513">
        <f t="shared" si="5"/>
        <v>0</v>
      </c>
      <c r="L27" s="25"/>
      <c r="M27" s="25"/>
      <c r="N27" s="847">
        <v>12</v>
      </c>
      <c r="O27" s="878" t="s">
        <v>60</v>
      </c>
      <c r="P27" s="638">
        <f t="shared" si="6"/>
        <v>1</v>
      </c>
      <c r="Q27" s="866"/>
      <c r="R27" s="879" t="s">
        <v>60</v>
      </c>
      <c r="S27" s="889" t="str">
        <f t="shared" si="7"/>
        <v xml:space="preserve"> </v>
      </c>
      <c r="T27" s="890" t="str">
        <f t="shared" si="15"/>
        <v xml:space="preserve"> </v>
      </c>
      <c r="U27" s="848"/>
      <c r="V27" s="120" t="str">
        <f t="shared" si="19"/>
        <v xml:space="preserve"> </v>
      </c>
      <c r="W27" s="151" t="str">
        <f t="shared" si="20"/>
        <v xml:space="preserve"> </v>
      </c>
      <c r="X27" s="697"/>
      <c r="Y27" s="258"/>
      <c r="Z27" s="259"/>
      <c r="AA27" s="259"/>
      <c r="AB27" s="302">
        <f t="shared" si="8"/>
        <v>0</v>
      </c>
      <c r="AC27" s="303">
        <f t="shared" si="9"/>
        <v>0</v>
      </c>
      <c r="AD27" s="837"/>
      <c r="AE27" s="264">
        <f t="shared" si="16"/>
        <v>1</v>
      </c>
      <c r="AG27" s="4">
        <f t="shared" si="10"/>
        <v>0</v>
      </c>
      <c r="AH27" s="4">
        <f t="shared" si="11"/>
        <v>0</v>
      </c>
      <c r="AJ27" s="4">
        <f t="shared" si="12"/>
        <v>0</v>
      </c>
      <c r="AK27" s="4">
        <f t="shared" si="13"/>
        <v>0</v>
      </c>
      <c r="AM27" s="4">
        <f t="shared" si="14"/>
        <v>0</v>
      </c>
      <c r="AN27" s="4">
        <f t="shared" si="14"/>
        <v>0</v>
      </c>
      <c r="AO27" s="4">
        <f t="shared" si="17"/>
        <v>0</v>
      </c>
    </row>
    <row r="28" spans="1:41" ht="14.4" x14ac:dyDescent="0.25">
      <c r="A28" s="293"/>
      <c r="B28" s="294"/>
      <c r="C28" s="295"/>
      <c r="D28" s="295"/>
      <c r="E28" s="296"/>
      <c r="F28" s="296"/>
      <c r="G28" s="296" t="s">
        <v>222</v>
      </c>
      <c r="H28" s="297" t="s">
        <v>138</v>
      </c>
      <c r="I28" s="297"/>
      <c r="J28" s="297">
        <v>0</v>
      </c>
      <c r="K28" s="117">
        <f>I28+J28</f>
        <v>0</v>
      </c>
      <c r="L28" s="25"/>
      <c r="M28" s="25"/>
      <c r="N28" s="423"/>
      <c r="O28" s="424"/>
      <c r="P28" s="262"/>
      <c r="Q28" s="866"/>
      <c r="R28" s="866"/>
      <c r="S28" s="866"/>
      <c r="T28" s="866"/>
      <c r="U28" s="866"/>
      <c r="V28" s="866"/>
      <c r="W28" s="866"/>
      <c r="X28" s="326"/>
      <c r="Y28" s="260"/>
      <c r="Z28" s="261"/>
      <c r="AA28" s="259"/>
      <c r="AB28" s="262"/>
      <c r="AC28" s="263">
        <v>0</v>
      </c>
      <c r="AD28" s="263">
        <v>0</v>
      </c>
      <c r="AE28" s="273"/>
      <c r="AG28" s="103" t="s">
        <v>138</v>
      </c>
      <c r="AH28" s="103" t="s">
        <v>138</v>
      </c>
      <c r="AJ28" s="103" t="s">
        <v>138</v>
      </c>
      <c r="AK28" s="103" t="s">
        <v>138</v>
      </c>
      <c r="AM28" s="103">
        <v>0</v>
      </c>
      <c r="AN28" s="103">
        <v>0</v>
      </c>
      <c r="AO28" s="50">
        <f t="shared" si="17"/>
        <v>0</v>
      </c>
    </row>
    <row r="29" spans="1:41" ht="16.5" customHeight="1" thickBot="1" x14ac:dyDescent="0.3">
      <c r="A29" s="910" t="s">
        <v>9</v>
      </c>
      <c r="B29" s="300"/>
      <c r="C29" s="301"/>
      <c r="D29" s="301"/>
      <c r="E29" s="301"/>
      <c r="F29" s="301"/>
      <c r="G29" s="301"/>
      <c r="H29" s="298">
        <f>SUM(H20:H28)</f>
        <v>0</v>
      </c>
      <c r="I29" s="336"/>
      <c r="J29" s="298">
        <f>SUM(J20:J28)</f>
        <v>0</v>
      </c>
      <c r="K29" s="299">
        <f>SUM(K20:K28)</f>
        <v>0</v>
      </c>
      <c r="L29" s="175"/>
      <c r="M29" s="175"/>
      <c r="N29" s="866"/>
      <c r="O29" s="866"/>
      <c r="P29" s="866"/>
      <c r="Q29" s="866"/>
      <c r="R29" s="866"/>
      <c r="S29" s="866"/>
      <c r="T29" s="866"/>
      <c r="U29" s="866"/>
      <c r="V29" s="866"/>
      <c r="W29" s="866"/>
      <c r="X29" s="326"/>
      <c r="Y29" s="271"/>
      <c r="Z29" s="272"/>
      <c r="AA29" s="272"/>
      <c r="AB29" s="262"/>
      <c r="AC29" s="262"/>
      <c r="AD29" s="272"/>
      <c r="AE29" s="273"/>
      <c r="AG29" s="121">
        <f>SUM(AG20:AG28)</f>
        <v>0</v>
      </c>
      <c r="AH29" s="121">
        <f>SUM(AH20:AH28)</f>
        <v>0</v>
      </c>
      <c r="AJ29" s="121">
        <f>SUM(AJ20:AJ28)</f>
        <v>0</v>
      </c>
      <c r="AK29" s="121">
        <f>SUM(AK20:AK28)</f>
        <v>0</v>
      </c>
      <c r="AM29" s="4">
        <f>SUM(AM20:AM28)</f>
        <v>0</v>
      </c>
      <c r="AN29" s="4">
        <f>SUM(AN20:AN28)</f>
        <v>0</v>
      </c>
      <c r="AO29" s="121">
        <f>SUM(AO20:AO28)</f>
        <v>0</v>
      </c>
    </row>
    <row r="30" spans="1:41" ht="16.5" customHeight="1" x14ac:dyDescent="0.25">
      <c r="A30" s="910"/>
      <c r="B30" s="226"/>
      <c r="C30" s="301"/>
      <c r="D30" s="301"/>
      <c r="E30" s="301"/>
      <c r="F30" s="301"/>
      <c r="G30" s="301"/>
      <c r="H30" s="301"/>
      <c r="I30" s="301"/>
      <c r="J30" s="301"/>
      <c r="K30" s="338"/>
      <c r="L30" s="180"/>
      <c r="M30" s="180"/>
      <c r="N30" s="866"/>
      <c r="O30" s="866"/>
      <c r="P30" s="866"/>
      <c r="Q30" s="866"/>
      <c r="R30" s="866"/>
      <c r="S30" s="866"/>
      <c r="T30" s="866"/>
      <c r="U30" s="866"/>
      <c r="V30" s="866"/>
      <c r="W30" s="866"/>
      <c r="X30" s="326"/>
      <c r="Y30" s="271"/>
      <c r="Z30" s="272"/>
      <c r="AA30" s="272"/>
      <c r="AB30" s="262"/>
      <c r="AC30" s="262"/>
      <c r="AD30" s="272"/>
      <c r="AE30" s="273"/>
      <c r="AM30" s="126"/>
      <c r="AN30" s="121"/>
    </row>
    <row r="31" spans="1:41" ht="16.5" customHeight="1" x14ac:dyDescent="0.25">
      <c r="A31" s="341" t="s">
        <v>120</v>
      </c>
      <c r="B31" s="342"/>
      <c r="C31" s="301"/>
      <c r="D31" s="301"/>
      <c r="E31" s="337" t="s">
        <v>159</v>
      </c>
      <c r="F31" s="301"/>
      <c r="G31" s="301"/>
      <c r="H31" s="301"/>
      <c r="I31" s="301"/>
      <c r="J31" s="301"/>
      <c r="K31" s="903" t="s">
        <v>160</v>
      </c>
      <c r="L31" s="181"/>
      <c r="M31" s="181"/>
      <c r="N31" s="866"/>
      <c r="O31" s="866"/>
      <c r="P31" s="866"/>
      <c r="Q31" s="866"/>
      <c r="R31" s="866"/>
      <c r="S31" s="866"/>
      <c r="T31" s="866"/>
      <c r="U31" s="866"/>
      <c r="V31" s="866"/>
      <c r="W31" s="866"/>
      <c r="X31" s="326"/>
      <c r="Y31" s="271"/>
      <c r="Z31" s="272"/>
      <c r="AA31" s="272"/>
      <c r="AB31" s="262"/>
      <c r="AC31" s="262"/>
      <c r="AD31" s="272"/>
      <c r="AE31" s="273"/>
    </row>
    <row r="32" spans="1:41" ht="16.5" customHeight="1" x14ac:dyDescent="0.25">
      <c r="A32" s="910"/>
      <c r="B32" s="226"/>
      <c r="C32" s="301"/>
      <c r="D32" s="301"/>
      <c r="E32" s="227"/>
      <c r="F32" s="261"/>
      <c r="G32" s="261"/>
      <c r="H32" s="301"/>
      <c r="I32" s="301"/>
      <c r="J32" s="301"/>
      <c r="K32" s="227"/>
      <c r="L32" s="25"/>
      <c r="M32" s="25"/>
      <c r="N32" s="866"/>
      <c r="O32" s="866"/>
      <c r="P32" s="866"/>
      <c r="Q32" s="866"/>
      <c r="R32" s="866"/>
      <c r="S32" s="866"/>
      <c r="T32" s="866"/>
      <c r="U32" s="866"/>
      <c r="V32" s="866"/>
      <c r="W32" s="866"/>
      <c r="X32" s="326"/>
      <c r="Y32" s="271"/>
      <c r="Z32" s="272"/>
      <c r="AA32" s="272"/>
      <c r="AB32" s="262"/>
      <c r="AC32" s="262"/>
      <c r="AD32" s="272"/>
      <c r="AE32" s="273"/>
    </row>
    <row r="33" spans="1:41" ht="16.5" customHeight="1" x14ac:dyDescent="0.25">
      <c r="A33" s="910"/>
      <c r="B33" s="226"/>
      <c r="C33" s="301"/>
      <c r="D33" s="301"/>
      <c r="E33" s="227"/>
      <c r="F33" s="261"/>
      <c r="G33" s="261"/>
      <c r="H33" s="301"/>
      <c r="I33" s="301"/>
      <c r="J33" s="301"/>
      <c r="K33" s="339"/>
      <c r="L33" s="25"/>
      <c r="M33" s="25"/>
      <c r="N33" s="866"/>
      <c r="O33" s="866"/>
      <c r="P33" s="866"/>
      <c r="Q33" s="866"/>
      <c r="R33" s="866"/>
      <c r="S33" s="866"/>
      <c r="T33" s="866"/>
      <c r="U33" s="866"/>
      <c r="V33" s="866"/>
      <c r="W33" s="866"/>
      <c r="X33" s="326"/>
      <c r="Y33" s="271"/>
      <c r="Z33" s="272"/>
      <c r="AA33" s="272"/>
      <c r="AB33" s="262"/>
      <c r="AC33" s="262"/>
      <c r="AD33" s="272"/>
      <c r="AE33" s="273"/>
    </row>
    <row r="34" spans="1:41" ht="16.5" customHeight="1" thickBot="1" x14ac:dyDescent="0.35">
      <c r="A34" s="574" t="s">
        <v>121</v>
      </c>
      <c r="B34" s="574"/>
      <c r="C34" s="574"/>
      <c r="D34" s="574"/>
      <c r="E34" s="574"/>
      <c r="F34" s="574"/>
      <c r="G34" s="574"/>
      <c r="H34" s="574"/>
      <c r="I34" s="574"/>
      <c r="J34" s="651"/>
      <c r="K34" s="299">
        <f>SUM(E32:E33)+SUM(K32:K33)</f>
        <v>0</v>
      </c>
      <c r="L34" s="175"/>
      <c r="M34" s="175"/>
      <c r="N34" s="425" t="s">
        <v>45</v>
      </c>
      <c r="O34" s="425"/>
      <c r="P34" s="866"/>
      <c r="Q34" s="866"/>
      <c r="R34" s="866"/>
      <c r="S34" s="866"/>
      <c r="T34" s="866"/>
      <c r="U34" s="866"/>
      <c r="V34" s="866"/>
      <c r="W34" s="866"/>
      <c r="X34" s="326"/>
      <c r="Y34" s="274" t="s">
        <v>168</v>
      </c>
      <c r="Z34" s="272" t="s">
        <v>203</v>
      </c>
      <c r="AA34" s="272" t="s">
        <v>204</v>
      </c>
      <c r="AB34" s="262"/>
      <c r="AC34" s="275" t="s">
        <v>168</v>
      </c>
      <c r="AD34" s="272" t="s">
        <v>203</v>
      </c>
      <c r="AE34" s="273" t="s">
        <v>204</v>
      </c>
      <c r="AG34" s="64" t="s">
        <v>168</v>
      </c>
    </row>
    <row r="35" spans="1:41" ht="16.5" customHeight="1" x14ac:dyDescent="0.25">
      <c r="A35" s="910"/>
      <c r="B35" s="226"/>
      <c r="C35" s="301"/>
      <c r="D35" s="340"/>
      <c r="E35" s="301"/>
      <c r="F35" s="261"/>
      <c r="G35" s="261"/>
      <c r="H35" s="301"/>
      <c r="I35" s="301"/>
      <c r="J35" s="301"/>
      <c r="K35" s="338"/>
      <c r="L35" s="180"/>
      <c r="M35" s="180"/>
      <c r="N35" s="866"/>
      <c r="O35" s="866"/>
      <c r="P35" s="866"/>
      <c r="Q35" s="866"/>
      <c r="R35" s="866"/>
      <c r="S35" s="866"/>
      <c r="T35" s="866"/>
      <c r="U35" s="866"/>
      <c r="V35" s="866"/>
      <c r="W35" s="866"/>
      <c r="X35" s="326"/>
      <c r="Y35" s="274" t="s">
        <v>167</v>
      </c>
      <c r="Z35" s="278" t="s">
        <v>136</v>
      </c>
      <c r="AA35" s="278" t="s">
        <v>137</v>
      </c>
      <c r="AB35" s="262"/>
      <c r="AC35" s="275" t="s">
        <v>167</v>
      </c>
      <c r="AD35" s="278" t="s">
        <v>136</v>
      </c>
      <c r="AE35" s="279" t="s">
        <v>137</v>
      </c>
      <c r="AG35" s="64"/>
    </row>
    <row r="36" spans="1:41" ht="16.5" customHeight="1" x14ac:dyDescent="0.25">
      <c r="A36" s="341" t="s">
        <v>13</v>
      </c>
      <c r="B36" s="342"/>
      <c r="C36" s="301"/>
      <c r="D36" s="301"/>
      <c r="E36" s="902" t="s">
        <v>159</v>
      </c>
      <c r="F36" s="261"/>
      <c r="G36" s="261"/>
      <c r="H36" s="301"/>
      <c r="I36" s="301"/>
      <c r="J36" s="301"/>
      <c r="K36" s="903" t="s">
        <v>160</v>
      </c>
      <c r="L36" s="181"/>
      <c r="M36" s="181"/>
      <c r="N36" s="866"/>
      <c r="O36" s="866"/>
      <c r="P36" s="866"/>
      <c r="Q36" s="866"/>
      <c r="R36" s="866"/>
      <c r="S36" s="866"/>
      <c r="T36" s="866"/>
      <c r="U36" s="866"/>
      <c r="V36" s="866"/>
      <c r="W36" s="866"/>
      <c r="Y36" s="1463" t="s">
        <v>159</v>
      </c>
      <c r="Z36" s="1464"/>
      <c r="AA36" s="1464"/>
      <c r="AB36" s="262"/>
      <c r="AC36" s="1465" t="s">
        <v>160</v>
      </c>
      <c r="AD36" s="1465"/>
      <c r="AE36" s="1466"/>
      <c r="AG36" s="1472" t="s">
        <v>159</v>
      </c>
      <c r="AH36" s="1472"/>
      <c r="AJ36" s="1473" t="s">
        <v>160</v>
      </c>
      <c r="AK36" s="1473"/>
      <c r="AM36" s="1475" t="s">
        <v>161</v>
      </c>
      <c r="AN36" s="1475"/>
      <c r="AO36" s="1475"/>
    </row>
    <row r="37" spans="1:41" ht="16.5" customHeight="1" x14ac:dyDescent="0.25">
      <c r="A37" s="910"/>
      <c r="B37" s="226"/>
      <c r="C37" s="301"/>
      <c r="D37" s="866"/>
      <c r="E37" s="227"/>
      <c r="F37" s="261"/>
      <c r="G37" s="261"/>
      <c r="H37" s="301"/>
      <c r="I37" s="301"/>
      <c r="J37" s="301"/>
      <c r="K37" s="227"/>
      <c r="L37" s="25"/>
      <c r="M37" s="25"/>
      <c r="N37" s="866"/>
      <c r="O37" s="866"/>
      <c r="P37" s="866"/>
      <c r="Q37" s="866"/>
      <c r="R37" s="866"/>
      <c r="S37" s="866"/>
      <c r="T37" s="866"/>
      <c r="U37" s="866"/>
      <c r="V37" s="866"/>
      <c r="W37" s="866"/>
      <c r="Y37" s="643">
        <f>E37</f>
        <v>0</v>
      </c>
      <c r="Z37" s="837"/>
      <c r="AA37" s="495">
        <f>1-Z37</f>
        <v>1</v>
      </c>
      <c r="AB37" s="493"/>
      <c r="AC37" s="644">
        <f>K37</f>
        <v>0</v>
      </c>
      <c r="AD37" s="837"/>
      <c r="AE37" s="264">
        <f>1-AD37</f>
        <v>1</v>
      </c>
      <c r="AG37" s="4">
        <f>E37*Z37</f>
        <v>0</v>
      </c>
      <c r="AH37" s="4">
        <f>E37*AA37</f>
        <v>0</v>
      </c>
      <c r="AJ37" s="4">
        <f>K37*AD37</f>
        <v>0</v>
      </c>
      <c r="AK37" s="4">
        <f>K37*AE37</f>
        <v>0</v>
      </c>
      <c r="AM37" s="4">
        <f>AG37+AJ37</f>
        <v>0</v>
      </c>
      <c r="AN37" s="4">
        <f>AH37+AK37</f>
        <v>0</v>
      </c>
      <c r="AO37" s="4">
        <f>SUM(AM37:AN37)</f>
        <v>0</v>
      </c>
    </row>
    <row r="38" spans="1:41" ht="16.5" customHeight="1" x14ac:dyDescent="0.25">
      <c r="A38" s="910"/>
      <c r="B38" s="226"/>
      <c r="C38" s="301"/>
      <c r="D38" s="866"/>
      <c r="E38" s="227"/>
      <c r="F38" s="261"/>
      <c r="G38" s="261"/>
      <c r="H38" s="301"/>
      <c r="I38" s="343"/>
      <c r="J38" s="296" t="s">
        <v>223</v>
      </c>
      <c r="K38" s="382">
        <v>0</v>
      </c>
      <c r="L38" s="25"/>
      <c r="M38" s="25"/>
      <c r="N38" s="866"/>
      <c r="O38" s="866"/>
      <c r="P38" s="866"/>
      <c r="Q38" s="866"/>
      <c r="R38" s="866"/>
      <c r="S38" s="866"/>
      <c r="T38" s="866"/>
      <c r="U38" s="866"/>
      <c r="V38" s="866"/>
      <c r="W38" s="866"/>
      <c r="Y38" s="643">
        <f>E38</f>
        <v>0</v>
      </c>
      <c r="Z38" s="837"/>
      <c r="AA38" s="495">
        <f>1-Z38</f>
        <v>1</v>
      </c>
      <c r="AB38" s="493"/>
      <c r="AC38" s="263">
        <v>0</v>
      </c>
      <c r="AD38" s="263">
        <v>0</v>
      </c>
      <c r="AE38" s="273"/>
      <c r="AG38" s="50">
        <f>E38*Z38</f>
        <v>0</v>
      </c>
      <c r="AH38" s="50">
        <f>E38*AA38</f>
        <v>0</v>
      </c>
      <c r="AI38" s="9"/>
      <c r="AJ38" s="103">
        <v>0</v>
      </c>
      <c r="AK38" s="103">
        <v>0</v>
      </c>
      <c r="AM38" s="50">
        <f>AG38+AJ38</f>
        <v>0</v>
      </c>
      <c r="AN38" s="50">
        <f>AH38+AK38</f>
        <v>0</v>
      </c>
      <c r="AO38" s="50">
        <f t="shared" ref="AO38:AO39" si="21">SUM(AM38:AN38)</f>
        <v>0</v>
      </c>
    </row>
    <row r="39" spans="1:41" ht="16.5" customHeight="1" thickBot="1" x14ac:dyDescent="0.3">
      <c r="A39" s="574" t="s">
        <v>14</v>
      </c>
      <c r="B39" s="574"/>
      <c r="C39" s="574"/>
      <c r="D39" s="574"/>
      <c r="E39" s="574"/>
      <c r="F39" s="574"/>
      <c r="G39" s="574"/>
      <c r="H39" s="574"/>
      <c r="I39" s="574"/>
      <c r="J39" s="651"/>
      <c r="K39" s="383">
        <f>SUM(E37:E38)+SUM(K37:K38)</f>
        <v>0</v>
      </c>
      <c r="L39" s="174"/>
      <c r="M39" s="174"/>
      <c r="N39" s="866"/>
      <c r="O39" s="866"/>
      <c r="P39" s="866"/>
      <c r="Q39" s="866"/>
      <c r="R39" s="866"/>
      <c r="S39" s="866"/>
      <c r="T39" s="866"/>
      <c r="U39" s="866"/>
      <c r="V39" s="866"/>
      <c r="W39" s="866"/>
      <c r="Y39" s="492"/>
      <c r="Z39" s="272"/>
      <c r="AA39" s="272"/>
      <c r="AB39" s="493"/>
      <c r="AC39" s="493"/>
      <c r="AD39" s="272"/>
      <c r="AE39" s="273"/>
      <c r="AG39" s="4">
        <f>SUM(AG37:AG38)</f>
        <v>0</v>
      </c>
      <c r="AH39" s="4">
        <f t="shared" ref="AH39:AK39" si="22">SUM(AH37:AH38)</f>
        <v>0</v>
      </c>
      <c r="AI39" s="4"/>
      <c r="AJ39" s="4">
        <f t="shared" si="22"/>
        <v>0</v>
      </c>
      <c r="AK39" s="4">
        <f t="shared" si="22"/>
        <v>0</v>
      </c>
      <c r="AM39" s="4">
        <f>SUM(AM37:AM38)</f>
        <v>0</v>
      </c>
      <c r="AN39" s="4">
        <f>SUM(AN37:AN38)</f>
        <v>0</v>
      </c>
      <c r="AO39" s="121">
        <f t="shared" si="21"/>
        <v>0</v>
      </c>
    </row>
    <row r="40" spans="1:41" ht="16.5" customHeight="1" x14ac:dyDescent="0.25">
      <c r="A40" s="910"/>
      <c r="B40" s="226"/>
      <c r="C40" s="301"/>
      <c r="D40" s="301"/>
      <c r="E40" s="301"/>
      <c r="F40" s="261"/>
      <c r="G40" s="261"/>
      <c r="H40" s="301"/>
      <c r="I40" s="301"/>
      <c r="J40" s="301"/>
      <c r="K40" s="338"/>
      <c r="L40" s="180"/>
      <c r="M40" s="180"/>
      <c r="N40" s="866"/>
      <c r="O40" s="866"/>
      <c r="P40" s="866"/>
      <c r="Q40" s="866"/>
      <c r="R40" s="866"/>
      <c r="S40" s="866"/>
      <c r="T40" s="866"/>
      <c r="U40" s="866"/>
      <c r="V40" s="866"/>
      <c r="W40" s="866"/>
      <c r="Y40" s="494" t="s">
        <v>169</v>
      </c>
      <c r="Z40" s="272" t="s">
        <v>203</v>
      </c>
      <c r="AA40" s="272" t="s">
        <v>204</v>
      </c>
      <c r="AB40" s="493"/>
      <c r="AC40" s="236" t="s">
        <v>169</v>
      </c>
      <c r="AD40" s="272" t="s">
        <v>203</v>
      </c>
      <c r="AE40" s="273" t="s">
        <v>204</v>
      </c>
      <c r="AG40" s="10" t="s">
        <v>169</v>
      </c>
      <c r="AM40" s="126"/>
      <c r="AN40" s="121"/>
    </row>
    <row r="41" spans="1:41" ht="16.5" customHeight="1" x14ac:dyDescent="0.25">
      <c r="A41" s="344" t="s">
        <v>10</v>
      </c>
      <c r="B41" s="342"/>
      <c r="C41" s="301"/>
      <c r="D41" s="301"/>
      <c r="E41" s="337" t="s">
        <v>159</v>
      </c>
      <c r="F41" s="261"/>
      <c r="G41" s="261"/>
      <c r="H41" s="301"/>
      <c r="I41" s="301"/>
      <c r="J41" s="301"/>
      <c r="K41" s="903" t="s">
        <v>160</v>
      </c>
      <c r="L41" s="181"/>
      <c r="M41" s="181"/>
      <c r="N41" s="866"/>
      <c r="O41" s="866"/>
      <c r="P41" s="866"/>
      <c r="Q41" s="866"/>
      <c r="R41" s="866"/>
      <c r="S41" s="866"/>
      <c r="T41" s="866"/>
      <c r="U41" s="866"/>
      <c r="V41" s="866"/>
      <c r="W41" s="866"/>
      <c r="Y41" s="494" t="s">
        <v>167</v>
      </c>
      <c r="Z41" s="278" t="s">
        <v>136</v>
      </c>
      <c r="AA41" s="278" t="s">
        <v>137</v>
      </c>
      <c r="AB41" s="493"/>
      <c r="AC41" s="236" t="s">
        <v>167</v>
      </c>
      <c r="AD41" s="278" t="s">
        <v>136</v>
      </c>
      <c r="AE41" s="279" t="s">
        <v>137</v>
      </c>
      <c r="AG41" s="10"/>
    </row>
    <row r="42" spans="1:41" ht="16.5" customHeight="1" x14ac:dyDescent="0.25">
      <c r="A42" s="910"/>
      <c r="B42" s="226"/>
      <c r="C42" s="301"/>
      <c r="D42" s="866"/>
      <c r="E42" s="227"/>
      <c r="F42" s="261"/>
      <c r="G42" s="261"/>
      <c r="H42" s="301"/>
      <c r="I42" s="301"/>
      <c r="J42" s="301"/>
      <c r="K42" s="227"/>
      <c r="L42" s="25"/>
      <c r="M42" s="25"/>
      <c r="N42" s="866"/>
      <c r="O42" s="866"/>
      <c r="P42" s="866"/>
      <c r="Q42" s="866"/>
      <c r="R42" s="866"/>
      <c r="S42" s="866"/>
      <c r="T42" s="866"/>
      <c r="U42" s="866"/>
      <c r="V42" s="866"/>
      <c r="W42" s="866"/>
      <c r="Y42" s="643">
        <f>E42</f>
        <v>0</v>
      </c>
      <c r="Z42" s="837"/>
      <c r="AA42" s="495">
        <f>1-Z42</f>
        <v>1</v>
      </c>
      <c r="AB42" s="493"/>
      <c r="AC42" s="644">
        <f>K42</f>
        <v>0</v>
      </c>
      <c r="AD42" s="837"/>
      <c r="AE42" s="264">
        <f>1-AD42</f>
        <v>1</v>
      </c>
      <c r="AG42" s="4">
        <f>E42*Z42</f>
        <v>0</v>
      </c>
      <c r="AH42" s="4">
        <f>E42*AA42</f>
        <v>0</v>
      </c>
      <c r="AJ42" s="4">
        <f>K42*AD42</f>
        <v>0</v>
      </c>
      <c r="AK42" s="4">
        <f>K42*AE42</f>
        <v>0</v>
      </c>
      <c r="AM42" s="4">
        <f>AG42+AJ42</f>
        <v>0</v>
      </c>
      <c r="AN42" s="4">
        <f>AH42+AK42</f>
        <v>0</v>
      </c>
      <c r="AO42" s="4">
        <f>SUM(AM42:AN42)</f>
        <v>0</v>
      </c>
    </row>
    <row r="43" spans="1:41" ht="16.5" customHeight="1" x14ac:dyDescent="0.25">
      <c r="A43" s="910"/>
      <c r="B43" s="226"/>
      <c r="C43" s="301"/>
      <c r="D43" s="866"/>
      <c r="E43" s="227"/>
      <c r="F43" s="261"/>
      <c r="G43" s="261"/>
      <c r="H43" s="301"/>
      <c r="I43" s="301"/>
      <c r="J43" s="301"/>
      <c r="K43" s="227"/>
      <c r="L43" s="25"/>
      <c r="M43" s="25"/>
      <c r="N43" s="866"/>
      <c r="O43" s="866"/>
      <c r="P43" s="866"/>
      <c r="Q43" s="866"/>
      <c r="R43" s="866"/>
      <c r="S43" s="866"/>
      <c r="T43" s="866"/>
      <c r="U43" s="866"/>
      <c r="V43" s="866"/>
      <c r="W43" s="866"/>
      <c r="Y43" s="643">
        <f>E43</f>
        <v>0</v>
      </c>
      <c r="Z43" s="837"/>
      <c r="AA43" s="495">
        <f t="shared" ref="AA43:AA44" si="23">1-Z43</f>
        <v>1</v>
      </c>
      <c r="AB43" s="493"/>
      <c r="AC43" s="644">
        <f>K43</f>
        <v>0</v>
      </c>
      <c r="AD43" s="837"/>
      <c r="AE43" s="264">
        <f>1-AD43</f>
        <v>1</v>
      </c>
      <c r="AG43" s="48">
        <f>E43*Z43</f>
        <v>0</v>
      </c>
      <c r="AH43" s="48">
        <f>E43*AA43</f>
        <v>0</v>
      </c>
      <c r="AI43" s="9"/>
      <c r="AJ43" s="4">
        <f>K43*AD43</f>
        <v>0</v>
      </c>
      <c r="AK43" s="4">
        <f>K43*AE43</f>
        <v>0</v>
      </c>
      <c r="AL43" s="9"/>
      <c r="AM43" s="4">
        <f t="shared" ref="AM43:AN44" si="24">AG43+AJ43</f>
        <v>0</v>
      </c>
      <c r="AN43" s="4">
        <f t="shared" si="24"/>
        <v>0</v>
      </c>
      <c r="AO43" s="4">
        <f t="shared" ref="AO43:AO45" si="25">SUM(AM43:AN43)</f>
        <v>0</v>
      </c>
    </row>
    <row r="44" spans="1:41" ht="16.5" customHeight="1" x14ac:dyDescent="0.25">
      <c r="A44" s="910"/>
      <c r="B44" s="226"/>
      <c r="C44" s="301"/>
      <c r="D44" s="866"/>
      <c r="E44" s="227"/>
      <c r="F44" s="261"/>
      <c r="G44" s="261"/>
      <c r="H44" s="301"/>
      <c r="I44" s="345"/>
      <c r="J44" s="296" t="s">
        <v>260</v>
      </c>
      <c r="K44" s="382">
        <v>0</v>
      </c>
      <c r="L44" s="25"/>
      <c r="M44" s="25"/>
      <c r="N44" s="866"/>
      <c r="O44" s="866"/>
      <c r="P44" s="866"/>
      <c r="Q44" s="866"/>
      <c r="R44" s="866"/>
      <c r="S44" s="866"/>
      <c r="T44" s="866"/>
      <c r="U44" s="866"/>
      <c r="V44" s="866"/>
      <c r="W44" s="866"/>
      <c r="Y44" s="643">
        <f>E44</f>
        <v>0</v>
      </c>
      <c r="Z44" s="837"/>
      <c r="AA44" s="495">
        <f t="shared" si="23"/>
        <v>1</v>
      </c>
      <c r="AB44" s="493"/>
      <c r="AC44" s="263">
        <v>0</v>
      </c>
      <c r="AD44" s="263">
        <v>0</v>
      </c>
      <c r="AE44" s="273"/>
      <c r="AG44" s="50">
        <f>E44*Z44</f>
        <v>0</v>
      </c>
      <c r="AH44" s="50">
        <f>E44*AA44</f>
        <v>0</v>
      </c>
      <c r="AJ44" s="103">
        <v>0</v>
      </c>
      <c r="AK44" s="103">
        <v>0</v>
      </c>
      <c r="AL44" s="9"/>
      <c r="AM44" s="50">
        <f t="shared" si="24"/>
        <v>0</v>
      </c>
      <c r="AN44" s="50">
        <f t="shared" si="24"/>
        <v>0</v>
      </c>
      <c r="AO44" s="50">
        <f t="shared" si="25"/>
        <v>0</v>
      </c>
    </row>
    <row r="45" spans="1:41" ht="16.5" customHeight="1" thickBot="1" x14ac:dyDescent="0.3">
      <c r="A45" s="574" t="s">
        <v>12</v>
      </c>
      <c r="B45" s="574"/>
      <c r="C45" s="574"/>
      <c r="D45" s="574"/>
      <c r="E45" s="574"/>
      <c r="F45" s="574"/>
      <c r="G45" s="574"/>
      <c r="H45" s="574"/>
      <c r="I45" s="574"/>
      <c r="J45" s="651"/>
      <c r="K45" s="384">
        <f>SUM(E42:E44)+SUM(K42:K44)</f>
        <v>0</v>
      </c>
      <c r="L45" s="174"/>
      <c r="M45" s="174"/>
      <c r="N45" s="866"/>
      <c r="O45" s="866"/>
      <c r="P45" s="866"/>
      <c r="Q45" s="866"/>
      <c r="R45" s="866"/>
      <c r="S45" s="866"/>
      <c r="T45" s="866"/>
      <c r="U45" s="866"/>
      <c r="V45" s="866"/>
      <c r="W45" s="866"/>
      <c r="Y45" s="492"/>
      <c r="Z45" s="272"/>
      <c r="AA45" s="272"/>
      <c r="AB45" s="493"/>
      <c r="AC45" s="493"/>
      <c r="AD45" s="272"/>
      <c r="AE45" s="273"/>
      <c r="AG45" s="4">
        <f t="shared" ref="AG45:AK45" si="26">SUM(AG42:AG44)</f>
        <v>0</v>
      </c>
      <c r="AH45" s="4">
        <f t="shared" si="26"/>
        <v>0</v>
      </c>
      <c r="AI45" s="4"/>
      <c r="AJ45" s="4">
        <f t="shared" si="26"/>
        <v>0</v>
      </c>
      <c r="AK45" s="4">
        <f t="shared" si="26"/>
        <v>0</v>
      </c>
      <c r="AL45" s="4"/>
      <c r="AM45" s="4">
        <f>SUM(AM42:AM44)</f>
        <v>0</v>
      </c>
      <c r="AN45" s="4">
        <f>SUM(AN42:AN44)</f>
        <v>0</v>
      </c>
      <c r="AO45" s="121">
        <f t="shared" si="25"/>
        <v>0</v>
      </c>
    </row>
    <row r="46" spans="1:41" ht="16.5" customHeight="1" x14ac:dyDescent="0.25">
      <c r="A46" s="910"/>
      <c r="B46" s="226"/>
      <c r="C46" s="301"/>
      <c r="D46" s="866"/>
      <c r="E46" s="301"/>
      <c r="F46" s="261"/>
      <c r="G46" s="261"/>
      <c r="H46" s="346"/>
      <c r="I46" s="301"/>
      <c r="J46" s="301"/>
      <c r="K46" s="338"/>
      <c r="L46" s="180"/>
      <c r="M46" s="180"/>
      <c r="N46" s="866"/>
      <c r="O46" s="866"/>
      <c r="P46" s="866"/>
      <c r="Q46" s="866"/>
      <c r="R46" s="866"/>
      <c r="S46" s="866"/>
      <c r="T46" s="866"/>
      <c r="U46" s="866"/>
      <c r="V46" s="866"/>
      <c r="W46" s="866"/>
      <c r="Y46" s="494" t="s">
        <v>34</v>
      </c>
      <c r="Z46" s="272" t="s">
        <v>203</v>
      </c>
      <c r="AA46" s="272" t="s">
        <v>204</v>
      </c>
      <c r="AB46" s="493"/>
      <c r="AC46" s="236" t="s">
        <v>34</v>
      </c>
      <c r="AD46" s="272" t="s">
        <v>203</v>
      </c>
      <c r="AE46" s="273" t="s">
        <v>204</v>
      </c>
      <c r="AG46" s="10" t="s">
        <v>34</v>
      </c>
      <c r="AM46" s="126"/>
      <c r="AN46" s="121"/>
    </row>
    <row r="47" spans="1:41" ht="16.5" customHeight="1" x14ac:dyDescent="0.25">
      <c r="A47" s="341" t="s">
        <v>15</v>
      </c>
      <c r="B47" s="342"/>
      <c r="C47" s="301"/>
      <c r="D47" s="866"/>
      <c r="E47" s="337" t="s">
        <v>159</v>
      </c>
      <c r="F47" s="261"/>
      <c r="G47" s="261"/>
      <c r="H47" s="301"/>
      <c r="I47" s="301"/>
      <c r="J47" s="301"/>
      <c r="K47" s="903" t="s">
        <v>160</v>
      </c>
      <c r="L47" s="181"/>
      <c r="M47" s="181"/>
      <c r="N47" s="866"/>
      <c r="O47" s="866"/>
      <c r="P47" s="866"/>
      <c r="Q47" s="866"/>
      <c r="R47" s="866"/>
      <c r="S47" s="866"/>
      <c r="T47" s="866"/>
      <c r="U47" s="866"/>
      <c r="V47" s="866"/>
      <c r="W47" s="866"/>
      <c r="Y47" s="494" t="s">
        <v>167</v>
      </c>
      <c r="Z47" s="278" t="s">
        <v>136</v>
      </c>
      <c r="AA47" s="278" t="s">
        <v>137</v>
      </c>
      <c r="AB47" s="493"/>
      <c r="AC47" s="236" t="s">
        <v>167</v>
      </c>
      <c r="AD47" s="278" t="s">
        <v>136</v>
      </c>
      <c r="AE47" s="279" t="s">
        <v>137</v>
      </c>
    </row>
    <row r="48" spans="1:41" ht="16.5" customHeight="1" x14ac:dyDescent="0.25">
      <c r="A48" s="910"/>
      <c r="B48" s="226"/>
      <c r="C48" s="301"/>
      <c r="D48" s="866"/>
      <c r="E48" s="227"/>
      <c r="F48" s="261"/>
      <c r="G48" s="261"/>
      <c r="H48" s="301"/>
      <c r="I48" s="301"/>
      <c r="J48" s="301"/>
      <c r="K48" s="227"/>
      <c r="L48" s="25"/>
      <c r="M48" s="25"/>
      <c r="N48" s="866"/>
      <c r="O48" s="866"/>
      <c r="P48" s="866"/>
      <c r="Q48" s="866"/>
      <c r="R48" s="866"/>
      <c r="S48" s="866"/>
      <c r="T48" s="866"/>
      <c r="U48" s="866"/>
      <c r="V48" s="866"/>
      <c r="W48" s="866"/>
      <c r="Y48" s="643">
        <f>E48</f>
        <v>0</v>
      </c>
      <c r="Z48" s="837"/>
      <c r="AA48" s="495">
        <f>1-Z48</f>
        <v>1</v>
      </c>
      <c r="AB48" s="493"/>
      <c r="AC48" s="644">
        <f>K48</f>
        <v>0</v>
      </c>
      <c r="AD48" s="837"/>
      <c r="AE48" s="264">
        <f>1-AD48</f>
        <v>1</v>
      </c>
      <c r="AG48" s="4">
        <f>E48*Z48</f>
        <v>0</v>
      </c>
      <c r="AH48" s="4">
        <f>E48*AA48</f>
        <v>0</v>
      </c>
      <c r="AJ48" s="4">
        <f>K48*AD48</f>
        <v>0</v>
      </c>
      <c r="AK48" s="4">
        <f>K48*AE48</f>
        <v>0</v>
      </c>
      <c r="AM48" s="4">
        <f>AG48+AJ48</f>
        <v>0</v>
      </c>
      <c r="AN48" s="4">
        <f>AH48+AK48</f>
        <v>0</v>
      </c>
      <c r="AO48" s="4">
        <f>SUM(AM48:AN48)</f>
        <v>0</v>
      </c>
    </row>
    <row r="49" spans="1:41" ht="16.5" customHeight="1" x14ac:dyDescent="0.25">
      <c r="A49" s="910"/>
      <c r="B49" s="226"/>
      <c r="C49" s="301"/>
      <c r="D49" s="866"/>
      <c r="E49" s="227"/>
      <c r="F49" s="261"/>
      <c r="G49" s="261"/>
      <c r="H49" s="301"/>
      <c r="I49" s="345"/>
      <c r="J49" s="296" t="s">
        <v>261</v>
      </c>
      <c r="K49" s="382">
        <v>0</v>
      </c>
      <c r="L49" s="25"/>
      <c r="M49" s="25"/>
      <c r="N49" s="866"/>
      <c r="O49" s="866"/>
      <c r="P49" s="866"/>
      <c r="Q49" s="866"/>
      <c r="R49" s="866"/>
      <c r="S49" s="866"/>
      <c r="T49" s="866"/>
      <c r="U49" s="866"/>
      <c r="V49" s="866"/>
      <c r="W49" s="866"/>
      <c r="Y49" s="643">
        <f>E49</f>
        <v>0</v>
      </c>
      <c r="Z49" s="837"/>
      <c r="AA49" s="495">
        <f>1-Z49</f>
        <v>1</v>
      </c>
      <c r="AB49" s="493"/>
      <c r="AC49" s="263">
        <v>0</v>
      </c>
      <c r="AD49" s="263">
        <v>0</v>
      </c>
      <c r="AE49" s="273"/>
      <c r="AG49" s="50">
        <f>E49*Z49</f>
        <v>0</v>
      </c>
      <c r="AH49" s="50">
        <f>E49*AA49</f>
        <v>0</v>
      </c>
      <c r="AJ49" s="103">
        <v>0</v>
      </c>
      <c r="AK49" s="103">
        <v>0</v>
      </c>
      <c r="AM49" s="50">
        <f>AG49+AJ49</f>
        <v>0</v>
      </c>
      <c r="AN49" s="50">
        <f>AH49+AK49</f>
        <v>0</v>
      </c>
      <c r="AO49" s="50">
        <f>SUM(AM49:AN49)</f>
        <v>0</v>
      </c>
    </row>
    <row r="50" spans="1:41" ht="16.5" customHeight="1" thickBot="1" x14ac:dyDescent="0.3">
      <c r="A50" s="910" t="s">
        <v>16</v>
      </c>
      <c r="B50" s="226"/>
      <c r="C50" s="301"/>
      <c r="D50" s="301"/>
      <c r="E50" s="301"/>
      <c r="F50" s="261"/>
      <c r="G50" s="261"/>
      <c r="H50" s="301"/>
      <c r="I50" s="301"/>
      <c r="J50" s="301"/>
      <c r="K50" s="383">
        <f>SUM(E48:E49)+ SUM(K48:K49)</f>
        <v>0</v>
      </c>
      <c r="L50" s="174"/>
      <c r="M50" s="174"/>
      <c r="N50" s="866"/>
      <c r="O50" s="866"/>
      <c r="P50" s="866"/>
      <c r="Q50" s="866"/>
      <c r="R50" s="866"/>
      <c r="S50" s="866"/>
      <c r="T50" s="866"/>
      <c r="U50" s="866"/>
      <c r="V50" s="866"/>
      <c r="W50" s="866"/>
      <c r="Y50" s="492"/>
      <c r="Z50" s="272"/>
      <c r="AA50" s="272"/>
      <c r="AB50" s="493"/>
      <c r="AC50" s="493"/>
      <c r="AD50" s="272"/>
      <c r="AE50" s="273"/>
      <c r="AG50" s="4">
        <f>SUM(AG48:AG49)</f>
        <v>0</v>
      </c>
      <c r="AH50" s="4">
        <f>SUM(AH48:AH49)</f>
        <v>0</v>
      </c>
      <c r="AJ50" s="4">
        <f>AJ48+AJ49</f>
        <v>0</v>
      </c>
      <c r="AK50" s="4">
        <f>AK48+AK49</f>
        <v>0</v>
      </c>
      <c r="AM50" s="4">
        <f>SUM(AM48:AM49)</f>
        <v>0</v>
      </c>
      <c r="AN50" s="4">
        <f>SUM(AN48:AN49)</f>
        <v>0</v>
      </c>
      <c r="AO50" s="121">
        <f>SUM(AM50:AN50)</f>
        <v>0</v>
      </c>
    </row>
    <row r="51" spans="1:41" ht="16.5" customHeight="1" x14ac:dyDescent="0.25">
      <c r="A51" s="910"/>
      <c r="B51" s="226"/>
      <c r="C51" s="301"/>
      <c r="D51" s="301"/>
      <c r="E51" s="301"/>
      <c r="F51" s="261"/>
      <c r="G51" s="261"/>
      <c r="H51" s="301"/>
      <c r="I51" s="301"/>
      <c r="J51" s="301"/>
      <c r="K51" s="338"/>
      <c r="L51" s="180"/>
      <c r="M51" s="180"/>
      <c r="N51" s="866"/>
      <c r="O51" s="866"/>
      <c r="P51" s="866"/>
      <c r="Q51" s="866"/>
      <c r="R51" s="866"/>
      <c r="S51" s="866"/>
      <c r="T51" s="866"/>
      <c r="U51" s="866"/>
      <c r="V51" s="866"/>
      <c r="W51" s="866"/>
      <c r="Y51" s="492"/>
      <c r="Z51" s="272"/>
      <c r="AA51" s="272"/>
      <c r="AB51" s="493"/>
      <c r="AC51" s="493"/>
      <c r="AD51" s="272"/>
      <c r="AE51" s="273"/>
      <c r="AM51" s="126"/>
      <c r="AN51" s="121"/>
    </row>
    <row r="52" spans="1:41" ht="16.5" customHeight="1" x14ac:dyDescent="0.25">
      <c r="A52" s="344" t="s">
        <v>29</v>
      </c>
      <c r="B52" s="347"/>
      <c r="C52" s="301"/>
      <c r="D52" s="301"/>
      <c r="E52" s="337" t="s">
        <v>159</v>
      </c>
      <c r="F52" s="326"/>
      <c r="G52" s="326"/>
      <c r="H52" s="301"/>
      <c r="I52" s="301"/>
      <c r="J52" s="301"/>
      <c r="K52" s="903" t="s">
        <v>160</v>
      </c>
      <c r="L52" s="181"/>
      <c r="M52" s="181"/>
      <c r="N52" s="866"/>
      <c r="O52" s="866"/>
      <c r="P52" s="866"/>
      <c r="Q52" s="866"/>
      <c r="R52" s="866"/>
      <c r="S52" s="866"/>
      <c r="T52" s="866"/>
      <c r="U52" s="866"/>
      <c r="V52" s="866"/>
      <c r="W52" s="866"/>
      <c r="Y52" s="492"/>
      <c r="Z52" s="272"/>
      <c r="AA52" s="272"/>
      <c r="AB52" s="493"/>
      <c r="AC52" s="493"/>
      <c r="AD52" s="272"/>
      <c r="AE52" s="273"/>
    </row>
    <row r="53" spans="1:41" ht="16.5" customHeight="1" x14ac:dyDescent="0.25">
      <c r="A53" s="910"/>
      <c r="B53" s="348"/>
      <c r="C53" s="349"/>
      <c r="D53" s="350"/>
      <c r="E53" s="227"/>
      <c r="F53" s="261"/>
      <c r="G53" s="261"/>
      <c r="H53" s="349"/>
      <c r="I53" s="301"/>
      <c r="J53" s="301"/>
      <c r="K53" s="385"/>
      <c r="L53" s="182"/>
      <c r="M53" s="182"/>
      <c r="N53" s="866"/>
      <c r="O53" s="866"/>
      <c r="P53" s="866"/>
      <c r="Q53" s="246"/>
      <c r="R53" s="246"/>
      <c r="S53" s="246"/>
      <c r="T53" s="246"/>
      <c r="U53" s="246"/>
      <c r="V53" s="246"/>
      <c r="W53" s="246"/>
      <c r="X53" s="246"/>
      <c r="Y53" s="271"/>
      <c r="Z53" s="259"/>
      <c r="AA53" s="259"/>
      <c r="AB53" s="496"/>
      <c r="AC53" s="496"/>
      <c r="AD53" s="259"/>
      <c r="AE53" s="497"/>
    </row>
    <row r="54" spans="1:41" ht="16.5" customHeight="1" x14ac:dyDescent="0.25">
      <c r="A54" s="910"/>
      <c r="B54" s="348"/>
      <c r="C54" s="349"/>
      <c r="D54" s="350"/>
      <c r="E54" s="227"/>
      <c r="F54" s="261"/>
      <c r="G54" s="261"/>
      <c r="H54" s="349"/>
      <c r="I54" s="345"/>
      <c r="J54" s="296" t="s">
        <v>262</v>
      </c>
      <c r="K54" s="382">
        <v>0</v>
      </c>
      <c r="L54" s="25"/>
      <c r="M54" s="25"/>
      <c r="N54" s="866"/>
      <c r="O54" s="866"/>
      <c r="P54" s="866"/>
      <c r="Q54" s="246"/>
      <c r="R54" s="246"/>
      <c r="S54" s="246"/>
      <c r="T54" s="246"/>
      <c r="U54" s="246"/>
      <c r="V54" s="246"/>
      <c r="W54" s="246"/>
      <c r="X54" s="246"/>
      <c r="Y54" s="271"/>
      <c r="Z54" s="259"/>
      <c r="AA54" s="259"/>
      <c r="AB54" s="496"/>
      <c r="AC54" s="496"/>
      <c r="AD54" s="272" t="s">
        <v>203</v>
      </c>
      <c r="AE54" s="273" t="s">
        <v>204</v>
      </c>
    </row>
    <row r="55" spans="1:41" ht="16.5" customHeight="1" thickBot="1" x14ac:dyDescent="0.35">
      <c r="A55" s="574" t="s">
        <v>30</v>
      </c>
      <c r="B55" s="574"/>
      <c r="C55" s="574"/>
      <c r="D55" s="574"/>
      <c r="E55" s="574"/>
      <c r="F55" s="574"/>
      <c r="G55" s="574"/>
      <c r="H55" s="574"/>
      <c r="I55" s="574"/>
      <c r="J55" s="651"/>
      <c r="K55" s="386">
        <f>SUM(E53:E54)+SUM(K53:K54)</f>
        <v>0</v>
      </c>
      <c r="L55" s="183"/>
      <c r="M55" s="183"/>
      <c r="N55" s="425" t="s">
        <v>45</v>
      </c>
      <c r="O55" s="425"/>
      <c r="P55" s="866"/>
      <c r="Q55" s="866"/>
      <c r="R55" s="866"/>
      <c r="S55" s="866"/>
      <c r="T55" s="866"/>
      <c r="U55" s="866"/>
      <c r="V55" s="866"/>
      <c r="W55" s="866"/>
      <c r="Y55" s="271"/>
      <c r="Z55" s="276"/>
      <c r="AA55" s="276"/>
      <c r="AB55" s="262"/>
      <c r="AC55" s="262"/>
      <c r="AD55" s="278" t="s">
        <v>136</v>
      </c>
      <c r="AE55" s="279" t="s">
        <v>137</v>
      </c>
    </row>
    <row r="56" spans="1:41" ht="16.5" customHeight="1" x14ac:dyDescent="0.25">
      <c r="A56" s="910"/>
      <c r="B56" s="226"/>
      <c r="C56" s="350"/>
      <c r="D56" s="350"/>
      <c r="E56" s="350"/>
      <c r="F56" s="350"/>
      <c r="G56" s="350"/>
      <c r="H56" s="226"/>
      <c r="I56" s="226"/>
      <c r="J56" s="226"/>
      <c r="K56" s="338"/>
      <c r="L56" s="180"/>
      <c r="M56" s="180"/>
      <c r="N56" s="866"/>
      <c r="O56" s="866"/>
      <c r="P56" s="866"/>
      <c r="Q56" s="866"/>
      <c r="R56" s="866"/>
      <c r="S56" s="866"/>
      <c r="T56" s="866"/>
      <c r="U56" s="866"/>
      <c r="V56" s="866"/>
      <c r="W56" s="866"/>
      <c r="Y56" s="1467"/>
      <c r="Z56" s="1468"/>
      <c r="AA56" s="498"/>
      <c r="AB56" s="262"/>
      <c r="AC56" s="1465" t="s">
        <v>160</v>
      </c>
      <c r="AD56" s="1465"/>
      <c r="AE56" s="1466"/>
    </row>
    <row r="57" spans="1:41" ht="16.5" customHeight="1" x14ac:dyDescent="0.25">
      <c r="A57" s="344" t="s">
        <v>68</v>
      </c>
      <c r="B57" s="342"/>
      <c r="C57" s="301"/>
      <c r="D57" s="301"/>
      <c r="E57" s="301"/>
      <c r="F57" s="301"/>
      <c r="G57" s="301"/>
      <c r="H57" s="262"/>
      <c r="I57" s="351" t="s">
        <v>72</v>
      </c>
      <c r="J57" s="351" t="s">
        <v>73</v>
      </c>
      <c r="K57" s="903" t="s">
        <v>160</v>
      </c>
      <c r="L57" s="181"/>
      <c r="M57" s="181"/>
      <c r="N57" s="866"/>
      <c r="O57" s="866"/>
      <c r="P57" s="866"/>
      <c r="Q57" s="866"/>
      <c r="R57" s="866"/>
      <c r="S57" s="866"/>
      <c r="T57" s="866"/>
      <c r="U57" s="866"/>
      <c r="V57" s="866"/>
      <c r="W57" s="866"/>
      <c r="Y57" s="271"/>
      <c r="Z57" s="259"/>
      <c r="AA57" s="259"/>
      <c r="AB57" s="493"/>
      <c r="AC57" s="493"/>
      <c r="AD57" s="499" t="s">
        <v>171</v>
      </c>
      <c r="AE57" s="500"/>
      <c r="AF57" s="49"/>
      <c r="AH57" s="49"/>
      <c r="AJ57" s="140" t="s">
        <v>171</v>
      </c>
      <c r="AK57" s="49"/>
      <c r="AM57" s="49"/>
      <c r="AN57" s="49"/>
      <c r="AO57" s="49"/>
    </row>
    <row r="58" spans="1:41" ht="16.5" customHeight="1" x14ac:dyDescent="0.25">
      <c r="A58" s="910"/>
      <c r="B58" s="226"/>
      <c r="C58" s="301"/>
      <c r="D58" s="301"/>
      <c r="E58" s="301"/>
      <c r="F58" s="301"/>
      <c r="G58" s="301"/>
      <c r="H58" s="262"/>
      <c r="I58" s="352"/>
      <c r="J58" s="352"/>
      <c r="K58" s="513">
        <f>I58+J58</f>
        <v>0</v>
      </c>
      <c r="L58" s="25"/>
      <c r="M58" s="25"/>
      <c r="N58" s="866"/>
      <c r="O58" s="866"/>
      <c r="P58" s="866"/>
      <c r="Q58" s="866"/>
      <c r="R58" s="866"/>
      <c r="S58" s="866"/>
      <c r="T58" s="866"/>
      <c r="U58" s="866"/>
      <c r="V58" s="866"/>
      <c r="W58" s="866"/>
      <c r="Y58" s="492"/>
      <c r="Z58" s="272"/>
      <c r="AA58" s="259"/>
      <c r="AB58" s="493"/>
      <c r="AC58" s="646">
        <f>K186</f>
        <v>0</v>
      </c>
      <c r="AD58" s="837"/>
      <c r="AE58" s="264">
        <f>1-AD58</f>
        <v>1</v>
      </c>
      <c r="AG58" s="4"/>
      <c r="AH58" s="4"/>
      <c r="AJ58" s="4">
        <f>K186*AD58</f>
        <v>0</v>
      </c>
      <c r="AK58" s="4">
        <f>K186*AE58</f>
        <v>0</v>
      </c>
      <c r="AM58" s="4">
        <f>AG58+AJ58</f>
        <v>0</v>
      </c>
      <c r="AN58" s="4">
        <f>AH58+AK58</f>
        <v>0</v>
      </c>
      <c r="AO58" s="121">
        <f>AM58+AN58</f>
        <v>0</v>
      </c>
    </row>
    <row r="59" spans="1:41" ht="16.5" customHeight="1" x14ac:dyDescent="0.25">
      <c r="A59" s="910"/>
      <c r="B59" s="226"/>
      <c r="C59" s="301"/>
      <c r="D59" s="301"/>
      <c r="E59" s="301"/>
      <c r="F59" s="301"/>
      <c r="G59" s="301"/>
      <c r="H59" s="262"/>
      <c r="I59" s="352"/>
      <c r="J59" s="352"/>
      <c r="K59" s="513">
        <f>I59+J59</f>
        <v>0</v>
      </c>
      <c r="L59" s="25"/>
      <c r="M59" s="25"/>
      <c r="N59" s="866"/>
      <c r="O59" s="866"/>
      <c r="P59" s="866"/>
      <c r="Q59" s="866"/>
      <c r="R59" s="866"/>
      <c r="S59" s="866"/>
      <c r="T59" s="866"/>
      <c r="U59" s="866"/>
      <c r="V59" s="866"/>
      <c r="W59" s="866"/>
      <c r="Y59" s="492"/>
      <c r="Z59" s="272"/>
      <c r="AA59" s="259"/>
      <c r="AB59" s="493"/>
      <c r="AC59" s="259"/>
      <c r="AD59" s="259"/>
      <c r="AE59" s="273"/>
    </row>
    <row r="60" spans="1:41" ht="16.5" customHeight="1" x14ac:dyDescent="0.25">
      <c r="A60" s="910"/>
      <c r="B60" s="226"/>
      <c r="C60" s="301"/>
      <c r="D60" s="301"/>
      <c r="E60" s="301"/>
      <c r="F60" s="301"/>
      <c r="G60" s="301"/>
      <c r="H60" s="262"/>
      <c r="I60" s="352"/>
      <c r="J60" s="352"/>
      <c r="K60" s="513">
        <f>I60+J60</f>
        <v>0</v>
      </c>
      <c r="L60" s="25"/>
      <c r="M60" s="25"/>
      <c r="N60" s="866"/>
      <c r="O60" s="866"/>
      <c r="P60" s="866"/>
      <c r="Q60" s="866"/>
      <c r="R60" s="866"/>
      <c r="S60" s="866"/>
      <c r="T60" s="866"/>
      <c r="U60" s="866"/>
      <c r="V60" s="866"/>
      <c r="W60" s="866"/>
      <c r="Y60" s="492"/>
      <c r="Z60" s="272"/>
      <c r="AA60" s="259"/>
      <c r="AB60" s="493"/>
      <c r="AC60" s="259"/>
      <c r="AD60" s="272" t="s">
        <v>203</v>
      </c>
      <c r="AE60" s="273" t="s">
        <v>204</v>
      </c>
    </row>
    <row r="61" spans="1:41" ht="16.5" customHeight="1" x14ac:dyDescent="0.25">
      <c r="A61" s="353" t="s">
        <v>175</v>
      </c>
      <c r="B61" s="354"/>
      <c r="C61" s="355"/>
      <c r="D61" s="355"/>
      <c r="E61" s="355"/>
      <c r="F61" s="355"/>
      <c r="G61" s="355"/>
      <c r="H61" s="356"/>
      <c r="I61" s="357"/>
      <c r="J61" s="358"/>
      <c r="K61" s="513">
        <f>I61+J61</f>
        <v>0</v>
      </c>
      <c r="L61" s="25"/>
      <c r="M61" s="25"/>
      <c r="N61" s="866"/>
      <c r="O61" s="866"/>
      <c r="P61" s="866"/>
      <c r="Q61" s="866"/>
      <c r="R61" s="866"/>
      <c r="S61" s="866"/>
      <c r="T61" s="866"/>
      <c r="U61" s="866"/>
      <c r="V61" s="866"/>
      <c r="W61" s="866"/>
      <c r="Y61" s="492"/>
      <c r="Z61" s="272"/>
      <c r="AA61" s="259"/>
      <c r="AB61" s="493"/>
      <c r="AC61" s="502"/>
      <c r="AD61" s="502" t="s">
        <v>172</v>
      </c>
      <c r="AE61" s="273"/>
      <c r="AJ61" s="139" t="s">
        <v>172</v>
      </c>
    </row>
    <row r="62" spans="1:41" ht="17.25" customHeight="1" x14ac:dyDescent="0.25">
      <c r="A62" s="293"/>
      <c r="B62" s="294"/>
      <c r="C62" s="295"/>
      <c r="D62" s="295"/>
      <c r="E62" s="295"/>
      <c r="F62" s="295"/>
      <c r="G62" s="295"/>
      <c r="H62" s="296" t="s">
        <v>224</v>
      </c>
      <c r="I62" s="297">
        <v>0</v>
      </c>
      <c r="J62" s="297">
        <v>0</v>
      </c>
      <c r="K62" s="382">
        <f>I62+J62</f>
        <v>0</v>
      </c>
      <c r="L62" s="25"/>
      <c r="M62" s="25"/>
      <c r="N62" s="866"/>
      <c r="O62" s="866"/>
      <c r="P62" s="866"/>
      <c r="Q62" s="866"/>
      <c r="R62" s="866"/>
      <c r="S62" s="866"/>
      <c r="T62" s="866"/>
      <c r="U62" s="866"/>
      <c r="V62" s="866"/>
      <c r="W62" s="866"/>
      <c r="Y62" s="492"/>
      <c r="Z62" s="272"/>
      <c r="AA62" s="259"/>
      <c r="AB62" s="493"/>
      <c r="AC62" s="647">
        <f>K129</f>
        <v>0</v>
      </c>
      <c r="AD62" s="837"/>
      <c r="AE62" s="264">
        <f>1-AD62</f>
        <v>1</v>
      </c>
      <c r="AJ62" s="129">
        <f>K129*AD62</f>
        <v>0</v>
      </c>
      <c r="AK62" s="867">
        <f>K129*AE62</f>
        <v>0</v>
      </c>
      <c r="AM62" s="4">
        <f>AG62+AJ62</f>
        <v>0</v>
      </c>
      <c r="AN62" s="867">
        <f>AH62+AK62</f>
        <v>0</v>
      </c>
      <c r="AO62" s="121">
        <f>AM62+AN62</f>
        <v>0</v>
      </c>
    </row>
    <row r="63" spans="1:41" ht="16.5" customHeight="1" thickBot="1" x14ac:dyDescent="0.35">
      <c r="A63" s="652" t="s">
        <v>47</v>
      </c>
      <c r="B63" s="652"/>
      <c r="C63" s="652"/>
      <c r="D63" s="652"/>
      <c r="E63" s="652"/>
      <c r="F63" s="652"/>
      <c r="G63" s="652"/>
      <c r="H63" s="652"/>
      <c r="I63" s="387">
        <f>SUM(I58:I62)</f>
        <v>0</v>
      </c>
      <c r="J63" s="106">
        <f>SUM(J58:J62)</f>
        <v>0</v>
      </c>
      <c r="K63" s="388">
        <f>SUM(K58:K62)</f>
        <v>0</v>
      </c>
      <c r="L63" s="175"/>
      <c r="M63" s="175"/>
      <c r="N63" s="425" t="s">
        <v>140</v>
      </c>
      <c r="O63" s="425"/>
      <c r="P63" s="866"/>
      <c r="Q63" s="866"/>
      <c r="R63" s="866"/>
      <c r="S63" s="866"/>
      <c r="T63" s="866"/>
      <c r="U63" s="866"/>
      <c r="V63" s="866"/>
      <c r="W63" s="866"/>
      <c r="Y63" s="494" t="s">
        <v>170</v>
      </c>
      <c r="Z63" s="272" t="s">
        <v>203</v>
      </c>
      <c r="AA63" s="272" t="s">
        <v>204</v>
      </c>
      <c r="AB63" s="493"/>
      <c r="AC63" s="236" t="s">
        <v>170</v>
      </c>
      <c r="AD63" s="272" t="s">
        <v>203</v>
      </c>
      <c r="AE63" s="273" t="s">
        <v>204</v>
      </c>
      <c r="AG63" s="49"/>
      <c r="AH63" s="49"/>
      <c r="AJ63" s="49"/>
      <c r="AK63" s="49"/>
      <c r="AM63" s="49"/>
      <c r="AN63" s="49"/>
      <c r="AO63" s="49"/>
    </row>
    <row r="64" spans="1:41" ht="16.5" customHeight="1" x14ac:dyDescent="0.25">
      <c r="A64" s="910"/>
      <c r="B64" s="226"/>
      <c r="C64" s="301"/>
      <c r="D64" s="301"/>
      <c r="E64" s="301"/>
      <c r="F64" s="301"/>
      <c r="G64" s="301"/>
      <c r="H64" s="301"/>
      <c r="I64" s="301"/>
      <c r="J64" s="301"/>
      <c r="K64" s="338"/>
      <c r="L64" s="180"/>
      <c r="M64" s="180"/>
      <c r="N64" s="866"/>
      <c r="O64" s="866"/>
      <c r="P64" s="866"/>
      <c r="Q64" s="866"/>
      <c r="R64" s="866"/>
      <c r="S64" s="866"/>
      <c r="T64" s="866"/>
      <c r="U64" s="866"/>
      <c r="V64" s="866"/>
      <c r="W64" s="866"/>
      <c r="Y64" s="274" t="s">
        <v>167</v>
      </c>
      <c r="Z64" s="278" t="s">
        <v>136</v>
      </c>
      <c r="AA64" s="278" t="s">
        <v>137</v>
      </c>
      <c r="AB64" s="493"/>
      <c r="AC64" s="275" t="s">
        <v>167</v>
      </c>
      <c r="AD64" s="278" t="s">
        <v>136</v>
      </c>
      <c r="AE64" s="278" t="s">
        <v>137</v>
      </c>
      <c r="AG64" s="160" t="s">
        <v>67</v>
      </c>
      <c r="AM64" s="126"/>
      <c r="AN64" s="4"/>
    </row>
    <row r="65" spans="1:52" ht="16.5" customHeight="1" x14ac:dyDescent="0.25">
      <c r="A65" s="341" t="s">
        <v>65</v>
      </c>
      <c r="B65" s="342"/>
      <c r="C65" s="301"/>
      <c r="D65" s="301"/>
      <c r="E65" s="337" t="s">
        <v>159</v>
      </c>
      <c r="F65" s="301"/>
      <c r="G65" s="301"/>
      <c r="H65" s="301"/>
      <c r="I65" s="301"/>
      <c r="J65" s="301"/>
      <c r="K65" s="903" t="s">
        <v>160</v>
      </c>
      <c r="L65" s="181"/>
      <c r="M65" s="181"/>
      <c r="N65" s="866"/>
      <c r="O65" s="866"/>
      <c r="P65" s="866"/>
      <c r="Q65" s="866"/>
      <c r="R65" s="866"/>
      <c r="S65" s="866"/>
      <c r="T65" s="866"/>
      <c r="U65" s="866"/>
      <c r="V65" s="866"/>
      <c r="W65" s="866"/>
      <c r="Y65" s="1463" t="s">
        <v>159</v>
      </c>
      <c r="Z65" s="1464"/>
      <c r="AA65" s="501"/>
      <c r="AB65" s="493"/>
      <c r="AC65" s="1465" t="s">
        <v>160</v>
      </c>
      <c r="AD65" s="1465"/>
      <c r="AE65" s="1466"/>
    </row>
    <row r="66" spans="1:52" ht="16.5" customHeight="1" x14ac:dyDescent="0.25">
      <c r="A66" s="305"/>
      <c r="B66" s="359"/>
      <c r="C66" s="349"/>
      <c r="D66" s="301"/>
      <c r="E66" s="227"/>
      <c r="F66" s="261"/>
      <c r="G66" s="261"/>
      <c r="H66" s="261"/>
      <c r="I66" s="301"/>
      <c r="J66" s="301"/>
      <c r="K66" s="227"/>
      <c r="L66" s="25"/>
      <c r="M66" s="25"/>
      <c r="N66" s="866"/>
      <c r="O66" s="866"/>
      <c r="P66" s="866"/>
      <c r="Q66" s="866"/>
      <c r="R66" s="866"/>
      <c r="S66" s="866"/>
      <c r="T66" s="866"/>
      <c r="U66" s="866"/>
      <c r="V66" s="866"/>
      <c r="W66" s="866"/>
      <c r="Y66" s="643">
        <f>E66</f>
        <v>0</v>
      </c>
      <c r="Z66" s="837"/>
      <c r="AA66" s="495">
        <f>1-Z66</f>
        <v>1</v>
      </c>
      <c r="AB66" s="493"/>
      <c r="AC66" s="644">
        <f>K66</f>
        <v>0</v>
      </c>
      <c r="AD66" s="837"/>
      <c r="AE66" s="264">
        <f>1-AD66</f>
        <v>1</v>
      </c>
      <c r="AG66" s="4">
        <f>E66*Z66</f>
        <v>0</v>
      </c>
      <c r="AH66" s="4">
        <f>E66*AA66</f>
        <v>0</v>
      </c>
      <c r="AJ66" s="4">
        <f t="shared" ref="AJ66:AJ71" si="27">K66*AD66</f>
        <v>0</v>
      </c>
      <c r="AK66" s="4">
        <f t="shared" ref="AK66:AK71" si="28">K66*AE66</f>
        <v>0</v>
      </c>
      <c r="AM66" s="4">
        <f>AG66+AJ66</f>
        <v>0</v>
      </c>
      <c r="AN66" s="4">
        <f>AH66+AK66</f>
        <v>0</v>
      </c>
      <c r="AO66" s="4">
        <f>SUM(AM66:AN66)</f>
        <v>0</v>
      </c>
    </row>
    <row r="67" spans="1:52" ht="16.5" customHeight="1" x14ac:dyDescent="0.25">
      <c r="A67" s="305"/>
      <c r="B67" s="359"/>
      <c r="C67" s="349"/>
      <c r="D67" s="301"/>
      <c r="E67" s="227"/>
      <c r="F67" s="261"/>
      <c r="G67" s="261"/>
      <c r="H67" s="261"/>
      <c r="I67" s="301"/>
      <c r="J67" s="301"/>
      <c r="K67" s="227"/>
      <c r="L67" s="25"/>
      <c r="M67" s="25"/>
      <c r="N67" s="866"/>
      <c r="O67" s="866"/>
      <c r="P67" s="866"/>
      <c r="Q67" s="866"/>
      <c r="R67" s="866"/>
      <c r="S67" s="866"/>
      <c r="T67" s="866"/>
      <c r="U67" s="866"/>
      <c r="V67" s="866"/>
      <c r="W67" s="866"/>
      <c r="Y67" s="643">
        <f>E67</f>
        <v>0</v>
      </c>
      <c r="Z67" s="837"/>
      <c r="AA67" s="495">
        <f t="shared" ref="AA67:AA70" si="29">1-Z67</f>
        <v>1</v>
      </c>
      <c r="AB67" s="493"/>
      <c r="AC67" s="644">
        <f>K67</f>
        <v>0</v>
      </c>
      <c r="AD67" s="837"/>
      <c r="AE67" s="264">
        <f t="shared" ref="AE67:AE74" si="30">1-AD67</f>
        <v>1</v>
      </c>
      <c r="AG67" s="4">
        <f>E67*Z67</f>
        <v>0</v>
      </c>
      <c r="AH67" s="4">
        <f>E67*AA67</f>
        <v>0</v>
      </c>
      <c r="AJ67" s="4">
        <f t="shared" si="27"/>
        <v>0</v>
      </c>
      <c r="AK67" s="4">
        <f t="shared" si="28"/>
        <v>0</v>
      </c>
      <c r="AM67" s="4">
        <f t="shared" ref="AM67:AN74" si="31">AG67+AJ67</f>
        <v>0</v>
      </c>
      <c r="AN67" s="4">
        <f t="shared" si="31"/>
        <v>0</v>
      </c>
      <c r="AO67" s="4">
        <f t="shared" ref="AO67:AO78" si="32">SUM(AM67:AN67)</f>
        <v>0</v>
      </c>
    </row>
    <row r="68" spans="1:52" ht="16.5" customHeight="1" x14ac:dyDescent="0.25">
      <c r="A68" s="305"/>
      <c r="B68" s="359"/>
      <c r="C68" s="349"/>
      <c r="D68" s="301"/>
      <c r="E68" s="227"/>
      <c r="F68" s="261"/>
      <c r="G68" s="261"/>
      <c r="H68" s="261"/>
      <c r="I68" s="301"/>
      <c r="J68" s="301"/>
      <c r="K68" s="227"/>
      <c r="L68" s="25"/>
      <c r="M68" s="25"/>
      <c r="N68" s="866"/>
      <c r="O68" s="866"/>
      <c r="P68" s="866"/>
      <c r="Q68" s="866"/>
      <c r="R68" s="866"/>
      <c r="S68" s="866"/>
      <c r="T68" s="866"/>
      <c r="U68" s="866"/>
      <c r="V68" s="866"/>
      <c r="W68" s="866"/>
      <c r="Y68" s="643">
        <f>E68</f>
        <v>0</v>
      </c>
      <c r="Z68" s="837"/>
      <c r="AA68" s="495">
        <f t="shared" si="29"/>
        <v>1</v>
      </c>
      <c r="AB68" s="493"/>
      <c r="AC68" s="644">
        <f>K68</f>
        <v>0</v>
      </c>
      <c r="AD68" s="837"/>
      <c r="AE68" s="264">
        <f t="shared" si="30"/>
        <v>1</v>
      </c>
      <c r="AG68" s="4">
        <f>E68*Z68</f>
        <v>0</v>
      </c>
      <c r="AH68" s="4">
        <f>E68*AA68</f>
        <v>0</v>
      </c>
      <c r="AJ68" s="4">
        <f t="shared" si="27"/>
        <v>0</v>
      </c>
      <c r="AK68" s="4">
        <f t="shared" si="28"/>
        <v>0</v>
      </c>
      <c r="AM68" s="4">
        <f t="shared" si="31"/>
        <v>0</v>
      </c>
      <c r="AN68" s="4">
        <f t="shared" si="31"/>
        <v>0</v>
      </c>
      <c r="AO68" s="4">
        <f t="shared" si="32"/>
        <v>0</v>
      </c>
    </row>
    <row r="69" spans="1:52" ht="16.5" customHeight="1" x14ac:dyDescent="0.25">
      <c r="A69" s="305"/>
      <c r="B69" s="359"/>
      <c r="C69" s="349"/>
      <c r="D69" s="301"/>
      <c r="E69" s="227"/>
      <c r="F69" s="261"/>
      <c r="G69" s="261"/>
      <c r="H69" s="261"/>
      <c r="I69" s="301"/>
      <c r="J69" s="301"/>
      <c r="K69" s="227"/>
      <c r="L69" s="25"/>
      <c r="M69" s="25"/>
      <c r="N69" s="866"/>
      <c r="O69" s="866"/>
      <c r="P69" s="866"/>
      <c r="Q69" s="866"/>
      <c r="R69" s="866"/>
      <c r="S69" s="866"/>
      <c r="T69" s="866"/>
      <c r="U69" s="866"/>
      <c r="V69" s="866"/>
      <c r="W69" s="866"/>
      <c r="Y69" s="643">
        <f>E69</f>
        <v>0</v>
      </c>
      <c r="Z69" s="837"/>
      <c r="AA69" s="495">
        <f t="shared" si="29"/>
        <v>1</v>
      </c>
      <c r="AB69" s="493"/>
      <c r="AC69" s="644">
        <f>K69</f>
        <v>0</v>
      </c>
      <c r="AD69" s="837"/>
      <c r="AE69" s="264">
        <f t="shared" si="30"/>
        <v>1</v>
      </c>
      <c r="AG69" s="4">
        <f>E69*Z69</f>
        <v>0</v>
      </c>
      <c r="AH69" s="4">
        <f>E69*AA69</f>
        <v>0</v>
      </c>
      <c r="AJ69" s="4">
        <f t="shared" si="27"/>
        <v>0</v>
      </c>
      <c r="AK69" s="4">
        <f t="shared" si="28"/>
        <v>0</v>
      </c>
      <c r="AM69" s="4">
        <f t="shared" si="31"/>
        <v>0</v>
      </c>
      <c r="AN69" s="4">
        <f t="shared" si="31"/>
        <v>0</v>
      </c>
      <c r="AO69" s="4">
        <f t="shared" si="32"/>
        <v>0</v>
      </c>
    </row>
    <row r="70" spans="1:52" ht="16.5" customHeight="1" x14ac:dyDescent="0.25">
      <c r="A70" s="305"/>
      <c r="B70" s="359"/>
      <c r="C70" s="349"/>
      <c r="D70" s="301"/>
      <c r="E70" s="227"/>
      <c r="F70" s="261"/>
      <c r="G70" s="261"/>
      <c r="H70" s="261"/>
      <c r="I70" s="301"/>
      <c r="J70" s="301"/>
      <c r="K70" s="227"/>
      <c r="L70" s="25"/>
      <c r="M70" s="25"/>
      <c r="N70" s="326"/>
      <c r="O70" s="326"/>
      <c r="P70" s="326"/>
      <c r="Q70" s="326"/>
      <c r="R70" s="326"/>
      <c r="S70" s="326"/>
      <c r="T70" s="326"/>
      <c r="U70" s="326"/>
      <c r="V70" s="326"/>
      <c r="W70" s="326"/>
      <c r="X70" s="326"/>
      <c r="Y70" s="648">
        <f>E70</f>
        <v>0</v>
      </c>
      <c r="Z70" s="837"/>
      <c r="AA70" s="649">
        <f t="shared" si="29"/>
        <v>1</v>
      </c>
      <c r="AB70" s="496"/>
      <c r="AC70" s="644">
        <f>K70</f>
        <v>0</v>
      </c>
      <c r="AD70" s="837"/>
      <c r="AE70" s="264">
        <f t="shared" si="30"/>
        <v>1</v>
      </c>
      <c r="AG70" s="4">
        <f>E70*Z70</f>
        <v>0</v>
      </c>
      <c r="AH70" s="4">
        <f>E70*AA70</f>
        <v>0</v>
      </c>
      <c r="AJ70" s="4">
        <f t="shared" si="27"/>
        <v>0</v>
      </c>
      <c r="AK70" s="4">
        <f t="shared" si="28"/>
        <v>0</v>
      </c>
      <c r="AM70" s="4">
        <f t="shared" si="31"/>
        <v>0</v>
      </c>
      <c r="AN70" s="4">
        <f t="shared" si="31"/>
        <v>0</v>
      </c>
      <c r="AO70" s="4">
        <f t="shared" si="32"/>
        <v>0</v>
      </c>
    </row>
    <row r="71" spans="1:52" s="56" customFormat="1" ht="4.5" customHeight="1" x14ac:dyDescent="0.25">
      <c r="A71" s="104"/>
      <c r="B71" s="105"/>
      <c r="C71" s="51"/>
      <c r="D71" s="102"/>
      <c r="E71" s="102"/>
      <c r="F71" s="102"/>
      <c r="G71" s="102"/>
      <c r="H71" s="102"/>
      <c r="I71" s="364"/>
      <c r="J71" s="365"/>
      <c r="K71" s="389"/>
      <c r="L71" s="25"/>
      <c r="M71" s="25"/>
      <c r="N71" s="326"/>
      <c r="O71" s="326"/>
      <c r="P71" s="326"/>
      <c r="Q71" s="326"/>
      <c r="R71" s="326"/>
      <c r="S71" s="326"/>
      <c r="T71" s="326"/>
      <c r="U71" s="326"/>
      <c r="V71" s="326"/>
      <c r="W71" s="326"/>
      <c r="X71" s="326"/>
      <c r="Y71" s="271"/>
      <c r="Z71" s="259"/>
      <c r="AA71" s="259"/>
      <c r="AB71" s="496"/>
      <c r="AC71" s="698"/>
      <c r="AD71" s="503"/>
      <c r="AE71" s="273"/>
      <c r="AG71" s="4"/>
      <c r="AH71" s="4"/>
      <c r="AJ71" s="4">
        <f t="shared" si="27"/>
        <v>0</v>
      </c>
      <c r="AK71" s="4">
        <f t="shared" si="28"/>
        <v>0</v>
      </c>
      <c r="AM71" s="4">
        <f t="shared" si="31"/>
        <v>0</v>
      </c>
      <c r="AN71" s="4">
        <f t="shared" si="31"/>
        <v>0</v>
      </c>
      <c r="AO71" s="4">
        <f>SUM(AM71:AN71)</f>
        <v>0</v>
      </c>
      <c r="AP71" s="325"/>
      <c r="AQ71" s="325"/>
      <c r="AR71" s="325"/>
      <c r="AS71" s="325"/>
      <c r="AT71" s="325"/>
      <c r="AU71" s="325"/>
      <c r="AV71" s="325"/>
      <c r="AW71" s="325"/>
      <c r="AX71" s="325"/>
      <c r="AY71" s="325"/>
      <c r="AZ71" s="325"/>
    </row>
    <row r="72" spans="1:52" ht="16.5" customHeight="1" x14ac:dyDescent="0.25">
      <c r="A72" s="366" t="s">
        <v>134</v>
      </c>
      <c r="B72" s="367"/>
      <c r="C72" s="368"/>
      <c r="D72" s="369"/>
      <c r="E72" s="369"/>
      <c r="F72" s="369"/>
      <c r="G72" s="369"/>
      <c r="H72" s="369"/>
      <c r="I72" s="369"/>
      <c r="J72" s="369"/>
      <c r="K72" s="390" t="s">
        <v>433</v>
      </c>
      <c r="L72" s="184"/>
      <c r="M72" s="184"/>
      <c r="N72" s="326"/>
      <c r="O72" s="326"/>
      <c r="P72" s="326"/>
      <c r="Q72" s="326"/>
      <c r="R72" s="326"/>
      <c r="S72" s="326"/>
      <c r="T72" s="326"/>
      <c r="U72" s="326"/>
      <c r="V72" s="326"/>
      <c r="W72" s="326"/>
      <c r="X72" s="326"/>
      <c r="Y72" s="271"/>
      <c r="Z72" s="259"/>
      <c r="AA72" s="259"/>
      <c r="AB72" s="246"/>
      <c r="AC72" s="262"/>
      <c r="AD72" s="272"/>
      <c r="AE72" s="273"/>
      <c r="AG72" s="4"/>
      <c r="AH72" s="4"/>
      <c r="AJ72" s="4"/>
      <c r="AK72" s="4"/>
      <c r="AM72" s="4"/>
      <c r="AN72" s="4"/>
      <c r="AO72" s="4">
        <f t="shared" si="32"/>
        <v>0</v>
      </c>
    </row>
    <row r="73" spans="1:52" ht="16.5" customHeight="1" x14ac:dyDescent="0.25">
      <c r="A73" s="370" t="s">
        <v>139</v>
      </c>
      <c r="B73" s="305" t="str">
        <f>'Federal Grad Student'!A20</f>
        <v xml:space="preserve"> Direct Compensation</v>
      </c>
      <c r="C73" s="349"/>
      <c r="D73" s="301"/>
      <c r="E73" s="301"/>
      <c r="F73" s="301"/>
      <c r="G73" s="301"/>
      <c r="H73" s="261"/>
      <c r="I73" s="301"/>
      <c r="J73" s="301"/>
      <c r="K73" s="391">
        <f>IF($H$188="Yes", 'Federal Grad Student'!C158, 0)</f>
        <v>0</v>
      </c>
      <c r="L73" s="25"/>
      <c r="M73" s="25"/>
      <c r="N73" s="326"/>
      <c r="O73" s="866"/>
      <c r="P73" s="866"/>
      <c r="Q73" s="866"/>
      <c r="R73" s="866"/>
      <c r="S73" s="866"/>
      <c r="T73" s="866"/>
      <c r="U73" s="866"/>
      <c r="V73" s="866"/>
      <c r="W73" s="866"/>
      <c r="Y73" s="492"/>
      <c r="Z73" s="261"/>
      <c r="AA73" s="272"/>
      <c r="AB73" s="262"/>
      <c r="AC73" s="644">
        <f>K73</f>
        <v>0</v>
      </c>
      <c r="AD73" s="504"/>
      <c r="AE73" s="264">
        <f t="shared" si="30"/>
        <v>1</v>
      </c>
      <c r="AG73" s="4">
        <f>E73*Z73</f>
        <v>0</v>
      </c>
      <c r="AH73" s="4">
        <f>E73*AA73</f>
        <v>0</v>
      </c>
      <c r="AJ73" s="4">
        <f>K73*AD73</f>
        <v>0</v>
      </c>
      <c r="AK73" s="4">
        <f>K73*AE73</f>
        <v>0</v>
      </c>
      <c r="AM73" s="4">
        <f t="shared" si="31"/>
        <v>0</v>
      </c>
      <c r="AN73" s="4">
        <f t="shared" si="31"/>
        <v>0</v>
      </c>
      <c r="AO73" s="4">
        <f t="shared" si="32"/>
        <v>0</v>
      </c>
    </row>
    <row r="74" spans="1:52" ht="16.5" customHeight="1" x14ac:dyDescent="0.25">
      <c r="A74" s="371" t="s">
        <v>173</v>
      </c>
      <c r="B74" s="305" t="str">
        <f>'Federal Grad Student'!A21</f>
        <v xml:space="preserve"> Health Insurance</v>
      </c>
      <c r="C74" s="349"/>
      <c r="D74" s="301"/>
      <c r="E74" s="301"/>
      <c r="F74" s="301"/>
      <c r="G74" s="301"/>
      <c r="H74" s="261"/>
      <c r="I74" s="301"/>
      <c r="J74" s="301"/>
      <c r="K74" s="392">
        <f>IF($H$188="Yes", 'Federal Grad Student'!C159, 0)</f>
        <v>0</v>
      </c>
      <c r="L74" s="25"/>
      <c r="M74" s="25"/>
      <c r="N74" s="326"/>
      <c r="O74" s="866"/>
      <c r="P74" s="866"/>
      <c r="Q74" s="866"/>
      <c r="R74" s="866"/>
      <c r="S74" s="866"/>
      <c r="T74" s="866"/>
      <c r="U74" s="866"/>
      <c r="V74" s="866"/>
      <c r="W74" s="866"/>
      <c r="Y74" s="492"/>
      <c r="Z74" s="261"/>
      <c r="AA74" s="272"/>
      <c r="AB74" s="262"/>
      <c r="AC74" s="644">
        <f>K74</f>
        <v>0</v>
      </c>
      <c r="AD74" s="504"/>
      <c r="AE74" s="264">
        <f t="shared" si="30"/>
        <v>1</v>
      </c>
      <c r="AG74" s="4">
        <f>E74*Z74</f>
        <v>0</v>
      </c>
      <c r="AH74" s="4">
        <f>E74*AA74</f>
        <v>0</v>
      </c>
      <c r="AJ74" s="4">
        <f>K74*AD74</f>
        <v>0</v>
      </c>
      <c r="AK74" s="4">
        <f>K74*AE74</f>
        <v>0</v>
      </c>
      <c r="AM74" s="4">
        <f t="shared" si="31"/>
        <v>0</v>
      </c>
      <c r="AN74" s="4">
        <f t="shared" si="31"/>
        <v>0</v>
      </c>
      <c r="AO74" s="4">
        <f t="shared" si="32"/>
        <v>0</v>
      </c>
    </row>
    <row r="75" spans="1:52" ht="16.5" customHeight="1" x14ac:dyDescent="0.3">
      <c r="A75" s="372" t="s">
        <v>174</v>
      </c>
      <c r="B75" s="373" t="str">
        <f>'Federal Grad Student'!A22</f>
        <v xml:space="preserve"> Tuition/Fees</v>
      </c>
      <c r="C75" s="374"/>
      <c r="D75" s="375"/>
      <c r="E75" s="375"/>
      <c r="F75" s="375"/>
      <c r="G75" s="375"/>
      <c r="H75" s="358"/>
      <c r="I75" s="375"/>
      <c r="J75" s="375"/>
      <c r="K75" s="393">
        <f>IF($H$188="Yes", 'Federal Grad Student'!C160, 0)</f>
        <v>0</v>
      </c>
      <c r="L75" s="25"/>
      <c r="M75" s="25"/>
      <c r="N75" s="425" t="s">
        <v>45</v>
      </c>
      <c r="O75" s="425"/>
      <c r="P75" s="866"/>
      <c r="Q75" s="866"/>
      <c r="R75" s="866"/>
      <c r="S75" s="866"/>
      <c r="T75" s="866"/>
      <c r="U75" s="866"/>
      <c r="V75" s="866"/>
      <c r="W75" s="866"/>
      <c r="Y75" s="492"/>
      <c r="Z75" s="261"/>
      <c r="AA75" s="272"/>
      <c r="AB75" s="262"/>
      <c r="AC75" s="262"/>
      <c r="AD75" s="261"/>
      <c r="AE75" s="273"/>
      <c r="AG75" s="49"/>
      <c r="AH75" s="49"/>
      <c r="AJ75" s="50"/>
      <c r="AK75" s="50"/>
      <c r="AM75" s="50"/>
      <c r="AN75" s="50"/>
      <c r="AO75" s="50"/>
    </row>
    <row r="76" spans="1:52" ht="4.5" customHeight="1" x14ac:dyDescent="0.3">
      <c r="A76" s="376"/>
      <c r="B76" s="305"/>
      <c r="C76" s="349"/>
      <c r="D76" s="301"/>
      <c r="E76" s="301"/>
      <c r="F76" s="301"/>
      <c r="G76" s="301"/>
      <c r="H76" s="261"/>
      <c r="I76" s="375"/>
      <c r="J76" s="375"/>
      <c r="K76" s="608"/>
      <c r="L76" s="25"/>
      <c r="M76" s="25"/>
      <c r="N76" s="425"/>
      <c r="O76" s="425"/>
      <c r="P76" s="866"/>
      <c r="Q76" s="866"/>
      <c r="R76" s="866"/>
      <c r="S76" s="866"/>
      <c r="T76" s="866"/>
      <c r="U76" s="866"/>
      <c r="V76" s="866"/>
      <c r="W76" s="866"/>
      <c r="Y76" s="492"/>
      <c r="Z76" s="261"/>
      <c r="AA76" s="272"/>
      <c r="AB76" s="262"/>
      <c r="AC76" s="262"/>
      <c r="AD76" s="261"/>
      <c r="AE76" s="273"/>
      <c r="AG76" s="9"/>
      <c r="AH76" s="9"/>
      <c r="AJ76" s="159"/>
      <c r="AK76" s="159"/>
      <c r="AM76" s="48"/>
      <c r="AN76" s="48"/>
      <c r="AO76" s="48">
        <f t="shared" si="32"/>
        <v>0</v>
      </c>
    </row>
    <row r="77" spans="1:52" ht="21.75" customHeight="1" x14ac:dyDescent="0.3">
      <c r="A77" s="377" t="s">
        <v>218</v>
      </c>
      <c r="B77" s="378"/>
      <c r="C77" s="379"/>
      <c r="D77" s="380"/>
      <c r="E77" s="379"/>
      <c r="F77" s="380"/>
      <c r="G77" s="227"/>
      <c r="H77" s="381" t="s">
        <v>45</v>
      </c>
      <c r="I77" s="345"/>
      <c r="J77" s="296" t="s">
        <v>263</v>
      </c>
      <c r="K77" s="487">
        <v>0</v>
      </c>
      <c r="L77" s="25"/>
      <c r="M77" s="25"/>
      <c r="N77" s="866"/>
      <c r="O77" s="866"/>
      <c r="P77" s="866"/>
      <c r="Q77" s="866"/>
      <c r="R77" s="866"/>
      <c r="S77" s="866"/>
      <c r="T77" s="866"/>
      <c r="U77" s="866"/>
      <c r="V77" s="866"/>
      <c r="W77" s="866"/>
      <c r="Y77" s="505"/>
      <c r="Z77" s="506"/>
      <c r="AA77" s="507"/>
      <c r="AB77" s="508"/>
      <c r="AC77" s="508"/>
      <c r="AD77" s="297">
        <v>0</v>
      </c>
      <c r="AE77" s="500"/>
      <c r="AJ77" s="122">
        <v>0</v>
      </c>
      <c r="AK77" s="122">
        <v>0</v>
      </c>
      <c r="AM77" s="134"/>
      <c r="AN77" s="134"/>
      <c r="AO77" s="48">
        <f t="shared" si="32"/>
        <v>0</v>
      </c>
    </row>
    <row r="78" spans="1:52" ht="16.5" customHeight="1" thickBot="1" x14ac:dyDescent="0.3">
      <c r="A78" s="652" t="s">
        <v>66</v>
      </c>
      <c r="B78" s="652"/>
      <c r="C78" s="652"/>
      <c r="D78" s="652"/>
      <c r="E78" s="652"/>
      <c r="F78" s="652"/>
      <c r="G78" s="652"/>
      <c r="H78" s="652"/>
      <c r="I78" s="652"/>
      <c r="J78" s="653"/>
      <c r="K78" s="395">
        <f>SUM(E66:E70)+SUM(K66:K70)+SUM(K73:K75)+G77+K77</f>
        <v>0</v>
      </c>
      <c r="L78" s="175"/>
      <c r="M78" s="175"/>
      <c r="N78" s="866"/>
      <c r="O78" s="866"/>
      <c r="P78" s="866"/>
      <c r="Q78" s="866"/>
      <c r="R78" s="866"/>
      <c r="S78" s="866"/>
      <c r="T78" s="866"/>
      <c r="U78" s="866"/>
      <c r="V78" s="866"/>
      <c r="W78" s="866"/>
      <c r="Y78" s="866"/>
      <c r="Z78" s="868"/>
      <c r="AA78" s="868"/>
      <c r="AB78" s="866"/>
      <c r="AC78" s="866"/>
      <c r="AD78" s="868"/>
      <c r="AE78" s="868"/>
      <c r="AG78" s="4">
        <f>SUM(AG66:AG75)</f>
        <v>0</v>
      </c>
      <c r="AH78" s="4">
        <f>SUM(AH66:AH75)</f>
        <v>0</v>
      </c>
      <c r="AJ78" s="4">
        <f>SUM(AJ66:AJ75)</f>
        <v>0</v>
      </c>
      <c r="AK78" s="4">
        <f>SUM(AK66:AK75)</f>
        <v>0</v>
      </c>
      <c r="AM78" s="4">
        <f>SUM(AM66:AM75)</f>
        <v>0</v>
      </c>
      <c r="AN78" s="4">
        <f>SUM(AN66:AN75)</f>
        <v>0</v>
      </c>
      <c r="AO78" s="135">
        <f t="shared" si="32"/>
        <v>0</v>
      </c>
    </row>
    <row r="79" spans="1:52" ht="16.5" customHeight="1" x14ac:dyDescent="0.25">
      <c r="A79" s="910"/>
      <c r="B79" s="226"/>
      <c r="C79" s="301"/>
      <c r="D79" s="301"/>
      <c r="E79" s="301"/>
      <c r="F79" s="301"/>
      <c r="G79" s="301"/>
      <c r="H79" s="301"/>
      <c r="I79" s="301"/>
      <c r="J79" s="301"/>
      <c r="K79" s="396"/>
      <c r="L79" s="180"/>
      <c r="M79" s="180"/>
      <c r="N79" s="866"/>
      <c r="O79" s="866"/>
      <c r="P79" s="866"/>
      <c r="Q79" s="866"/>
      <c r="R79" s="866"/>
      <c r="S79" s="866"/>
      <c r="T79" s="866"/>
      <c r="U79" s="866"/>
      <c r="V79" s="866"/>
      <c r="W79" s="866"/>
      <c r="Y79" s="866"/>
      <c r="Z79" s="868"/>
      <c r="AA79" s="868"/>
      <c r="AB79" s="866"/>
      <c r="AC79" s="866"/>
      <c r="AD79" s="868"/>
      <c r="AE79" s="868"/>
      <c r="AM79" s="126"/>
      <c r="AN79" s="121"/>
    </row>
    <row r="80" spans="1:52" ht="16.5" customHeight="1" x14ac:dyDescent="0.25">
      <c r="A80" s="428" t="s">
        <v>74</v>
      </c>
      <c r="B80" s="429"/>
      <c r="C80" s="301"/>
      <c r="D80" s="301"/>
      <c r="E80" s="301"/>
      <c r="F80" s="301"/>
      <c r="G80" s="301"/>
      <c r="H80" s="301"/>
      <c r="I80" s="301"/>
      <c r="J80" s="301"/>
      <c r="K80" s="397">
        <f>SUM(K29,K34,K39,K45,K50,K55,K63,K78)</f>
        <v>0</v>
      </c>
      <c r="L80" s="175"/>
      <c r="M80" s="175"/>
      <c r="N80" s="866"/>
      <c r="O80" s="866"/>
      <c r="P80" s="866"/>
      <c r="Q80" s="866"/>
      <c r="R80" s="866"/>
      <c r="S80" s="866"/>
      <c r="T80" s="866"/>
      <c r="U80" s="866"/>
      <c r="V80" s="866"/>
      <c r="W80" s="866"/>
      <c r="Y80" s="866"/>
      <c r="Z80" s="868"/>
      <c r="AA80" s="868"/>
      <c r="AB80" s="866"/>
      <c r="AC80" s="866"/>
      <c r="AD80" s="868"/>
      <c r="AE80" s="868"/>
      <c r="AK80" s="126" t="s">
        <v>165</v>
      </c>
      <c r="AM80" s="121">
        <f>AM29+AM39+AM45+AM50+AM58+AM62+AM78</f>
        <v>0</v>
      </c>
      <c r="AN80" s="121">
        <f>AN29+AN39+AN45+AN50+AN58+AN62+AN78</f>
        <v>0</v>
      </c>
      <c r="AO80" s="121">
        <f>AO29+AO39+AO45+AO50+AO58+AO62+AO78</f>
        <v>0</v>
      </c>
      <c r="AP80" s="509">
        <f>I101</f>
        <v>0</v>
      </c>
      <c r="AQ80" s="509">
        <f>AP80-AO80</f>
        <v>0</v>
      </c>
    </row>
    <row r="81" spans="1:49" ht="16.5" customHeight="1" x14ac:dyDescent="0.25">
      <c r="A81" s="428"/>
      <c r="B81" s="429"/>
      <c r="C81" s="301"/>
      <c r="D81" s="301"/>
      <c r="E81" s="301"/>
      <c r="F81" s="301"/>
      <c r="G81" s="301"/>
      <c r="H81" s="301"/>
      <c r="I81" s="301"/>
      <c r="J81" s="301"/>
      <c r="K81" s="338"/>
      <c r="L81" s="180"/>
      <c r="M81" s="180"/>
      <c r="N81" s="866"/>
      <c r="O81" s="866"/>
      <c r="P81" s="866"/>
      <c r="Q81" s="866"/>
      <c r="R81" s="866"/>
      <c r="S81" s="866"/>
      <c r="T81" s="866"/>
      <c r="U81" s="866"/>
      <c r="V81" s="866"/>
      <c r="W81" s="866"/>
      <c r="Y81" s="866"/>
      <c r="Z81" s="868"/>
      <c r="AA81" s="868"/>
      <c r="AB81" s="866"/>
      <c r="AC81" s="866"/>
      <c r="AD81" s="868"/>
      <c r="AE81" s="868"/>
      <c r="AK81" s="867" t="s">
        <v>179</v>
      </c>
      <c r="AM81" s="101">
        <f>I90</f>
        <v>0</v>
      </c>
      <c r="AN81" s="101">
        <f>I94</f>
        <v>0</v>
      </c>
      <c r="AO81" s="156" t="e">
        <f>(AM81*AM83)+(AN81*AN83)</f>
        <v>#DIV/0!</v>
      </c>
    </row>
    <row r="82" spans="1:49" ht="16.5" customHeight="1" x14ac:dyDescent="0.25">
      <c r="A82" s="341" t="s">
        <v>23</v>
      </c>
      <c r="B82" s="342"/>
      <c r="C82" s="301"/>
      <c r="D82" s="301"/>
      <c r="E82" s="301"/>
      <c r="F82" s="301"/>
      <c r="G82" s="301"/>
      <c r="H82" s="301"/>
      <c r="I82" s="301"/>
      <c r="J82" s="301"/>
      <c r="K82" s="338"/>
      <c r="L82" s="180"/>
      <c r="M82" s="180"/>
      <c r="N82" s="866"/>
      <c r="O82" s="866"/>
      <c r="P82" s="866"/>
      <c r="Q82" s="866"/>
      <c r="R82" s="866"/>
      <c r="S82" s="866"/>
      <c r="T82" s="866"/>
      <c r="U82" s="866"/>
      <c r="V82" s="866"/>
      <c r="W82" s="866"/>
      <c r="Y82" s="866"/>
      <c r="Z82" s="868"/>
      <c r="AA82" s="868"/>
      <c r="AB82" s="866"/>
      <c r="AC82" s="866"/>
      <c r="AD82" s="868"/>
      <c r="AE82" s="868"/>
      <c r="AK82" s="126" t="s">
        <v>181</v>
      </c>
      <c r="AM82" s="121">
        <f>AM80*AM81</f>
        <v>0</v>
      </c>
      <c r="AN82" s="121">
        <f>AN80*AN81</f>
        <v>0</v>
      </c>
      <c r="AO82" s="128">
        <f>AM82+AN82</f>
        <v>0</v>
      </c>
    </row>
    <row r="83" spans="1:49" ht="16.5" customHeight="1" x14ac:dyDescent="0.25">
      <c r="A83" s="910" t="s">
        <v>26</v>
      </c>
      <c r="B83" s="342"/>
      <c r="C83" s="301"/>
      <c r="D83" s="301"/>
      <c r="E83" s="301"/>
      <c r="F83" s="301"/>
      <c r="G83" s="301"/>
      <c r="H83" s="301"/>
      <c r="I83" s="22">
        <f>K80-K63+I61</f>
        <v>0</v>
      </c>
      <c r="J83" s="22"/>
      <c r="K83" s="338"/>
      <c r="L83" s="180"/>
      <c r="M83" s="180"/>
      <c r="N83" s="326"/>
      <c r="O83" s="326"/>
      <c r="P83" s="326"/>
      <c r="Q83" s="326"/>
      <c r="R83" s="326"/>
      <c r="S83" s="326"/>
      <c r="T83" s="326"/>
      <c r="U83" s="326"/>
      <c r="V83" s="326"/>
      <c r="W83" s="326"/>
      <c r="X83" s="326"/>
      <c r="Y83" s="326"/>
      <c r="Z83" s="510"/>
      <c r="AA83" s="510"/>
      <c r="AB83" s="326"/>
      <c r="AC83" s="326"/>
      <c r="AD83" s="510"/>
      <c r="AE83" s="510"/>
      <c r="AF83" s="13"/>
      <c r="AG83" s="13"/>
      <c r="AK83" s="126" t="s">
        <v>183</v>
      </c>
      <c r="AM83" s="125" t="e">
        <f>AM80/AO80</f>
        <v>#DIV/0!</v>
      </c>
      <c r="AN83" s="125" t="e">
        <f>AN80/AO80</f>
        <v>#DIV/0!</v>
      </c>
      <c r="AO83" s="155" t="e">
        <f>AM83+AN83</f>
        <v>#DIV/0!</v>
      </c>
      <c r="AP83" s="326"/>
      <c r="AQ83" s="326"/>
      <c r="AR83" s="326"/>
      <c r="AS83" s="326"/>
      <c r="AT83" s="326"/>
      <c r="AU83" s="326"/>
      <c r="AV83" s="326"/>
      <c r="AW83" s="326"/>
    </row>
    <row r="84" spans="1:49" ht="16.5" customHeight="1" thickBot="1" x14ac:dyDescent="0.3">
      <c r="A84" s="910" t="s">
        <v>75</v>
      </c>
      <c r="B84" s="226"/>
      <c r="C84" s="301"/>
      <c r="D84" s="301"/>
      <c r="E84" s="301"/>
      <c r="F84" s="301"/>
      <c r="G84" s="301"/>
      <c r="H84" s="301"/>
      <c r="I84" s="22">
        <f>K80-J63</f>
        <v>0</v>
      </c>
      <c r="J84" s="22"/>
      <c r="K84" s="516"/>
      <c r="L84" s="58"/>
      <c r="M84" s="58"/>
      <c r="N84" s="326"/>
      <c r="O84" s="326"/>
      <c r="P84" s="326"/>
      <c r="Q84" s="326"/>
      <c r="R84" s="326"/>
      <c r="S84" s="326"/>
      <c r="T84" s="326"/>
      <c r="U84" s="326"/>
      <c r="V84" s="326"/>
      <c r="W84" s="326"/>
      <c r="X84" s="326"/>
      <c r="Y84" s="326"/>
      <c r="Z84" s="510"/>
      <c r="AA84" s="510"/>
      <c r="AB84" s="326"/>
      <c r="AC84" s="326"/>
      <c r="AD84" s="510"/>
      <c r="AE84" s="510"/>
      <c r="AF84" s="13"/>
      <c r="AG84" s="13"/>
      <c r="AJ84" s="13"/>
      <c r="AK84" s="13"/>
      <c r="AL84" s="13"/>
      <c r="AM84" s="13"/>
      <c r="AN84" s="13"/>
      <c r="AP84" s="326"/>
      <c r="AQ84" s="326"/>
      <c r="AR84" s="326"/>
      <c r="AS84" s="326"/>
      <c r="AT84" s="326"/>
      <c r="AU84" s="326"/>
      <c r="AV84" s="326"/>
      <c r="AW84" s="326"/>
    </row>
    <row r="85" spans="1:49" ht="16.5" customHeight="1" thickTop="1" thickBot="1" x14ac:dyDescent="0.3">
      <c r="A85" s="910" t="s">
        <v>108</v>
      </c>
      <c r="B85" s="226"/>
      <c r="C85" s="301"/>
      <c r="D85" s="301"/>
      <c r="E85" s="301"/>
      <c r="F85" s="301"/>
      <c r="G85" s="301"/>
      <c r="H85" s="301"/>
      <c r="I85" s="301"/>
      <c r="J85" s="22"/>
      <c r="K85" s="609">
        <v>0</v>
      </c>
      <c r="L85" s="175"/>
      <c r="M85" s="175"/>
      <c r="N85" s="426"/>
      <c r="O85" s="426"/>
      <c r="P85" s="326"/>
      <c r="Q85" s="326"/>
      <c r="R85" s="326"/>
      <c r="S85" s="326"/>
      <c r="T85" s="326"/>
      <c r="U85" s="326"/>
      <c r="V85" s="326"/>
      <c r="W85" s="326"/>
      <c r="X85" s="326"/>
      <c r="Y85" s="326"/>
      <c r="Z85" s="510"/>
      <c r="AA85" s="510"/>
      <c r="AB85" s="326"/>
      <c r="AC85" s="326"/>
      <c r="AD85" s="510"/>
      <c r="AE85" s="510"/>
      <c r="AF85" s="13"/>
      <c r="AG85" s="13"/>
      <c r="AK85" s="126" t="s">
        <v>190</v>
      </c>
      <c r="AO85" s="121">
        <f>K80</f>
        <v>0</v>
      </c>
      <c r="AP85" s="326"/>
      <c r="AQ85" s="326"/>
      <c r="AR85" s="326"/>
      <c r="AS85" s="326"/>
      <c r="AT85" s="326"/>
      <c r="AU85" s="326"/>
      <c r="AV85" s="326"/>
      <c r="AW85" s="326"/>
    </row>
    <row r="86" spans="1:49" ht="16.5" customHeight="1" thickTop="1" x14ac:dyDescent="0.25">
      <c r="A86" s="910"/>
      <c r="B86" s="226"/>
      <c r="C86" s="301"/>
      <c r="D86" s="301"/>
      <c r="E86" s="301"/>
      <c r="F86" s="301"/>
      <c r="G86" s="301"/>
      <c r="H86" s="301"/>
      <c r="I86" s="301"/>
      <c r="J86" s="22"/>
      <c r="K86" s="110"/>
      <c r="L86" s="180"/>
      <c r="M86" s="180"/>
      <c r="N86" s="326"/>
      <c r="O86" s="326"/>
      <c r="P86" s="326"/>
      <c r="Q86" s="326"/>
      <c r="R86" s="326"/>
      <c r="S86" s="326"/>
      <c r="T86" s="326"/>
      <c r="U86" s="326"/>
      <c r="V86" s="326"/>
      <c r="W86" s="326"/>
      <c r="X86" s="326"/>
      <c r="Y86" s="326"/>
      <c r="Z86" s="510"/>
      <c r="AA86" s="510"/>
      <c r="AB86" s="326"/>
      <c r="AC86" s="326"/>
      <c r="AD86" s="510"/>
      <c r="AE86" s="510"/>
      <c r="AF86" s="13"/>
      <c r="AG86" s="13"/>
      <c r="AH86" s="13"/>
      <c r="AK86" s="126" t="s">
        <v>191</v>
      </c>
      <c r="AO86" s="121">
        <f>I84</f>
        <v>0</v>
      </c>
      <c r="AP86" s="326"/>
      <c r="AQ86" s="326"/>
      <c r="AR86" s="326"/>
      <c r="AS86" s="326"/>
      <c r="AT86" s="326"/>
      <c r="AU86" s="326"/>
      <c r="AV86" s="326"/>
      <c r="AW86" s="326"/>
    </row>
    <row r="87" spans="1:49" ht="16.5" customHeight="1" x14ac:dyDescent="0.25">
      <c r="A87" s="428"/>
      <c r="B87" s="281"/>
      <c r="C87" s="301"/>
      <c r="D87" s="301"/>
      <c r="E87" s="301"/>
      <c r="F87" s="301"/>
      <c r="G87" s="301"/>
      <c r="H87" s="301"/>
      <c r="I87" s="281"/>
      <c r="J87" s="22"/>
      <c r="K87" s="43"/>
      <c r="L87" s="175"/>
      <c r="M87" s="175"/>
      <c r="N87" s="866"/>
      <c r="O87" s="866"/>
      <c r="P87" s="866"/>
      <c r="Q87" s="866"/>
      <c r="R87" s="866"/>
      <c r="S87" s="866"/>
      <c r="T87" s="866"/>
      <c r="U87" s="866"/>
      <c r="V87" s="866"/>
      <c r="W87" s="866"/>
      <c r="Y87" s="866"/>
      <c r="Z87" s="868"/>
      <c r="AA87" s="868"/>
      <c r="AB87" s="866"/>
      <c r="AC87" s="866"/>
      <c r="AD87" s="868"/>
      <c r="AE87" s="868"/>
      <c r="AH87" s="13"/>
      <c r="AI87" s="13"/>
      <c r="AO87" s="4"/>
    </row>
    <row r="88" spans="1:49" ht="24.75" customHeight="1" x14ac:dyDescent="0.25">
      <c r="A88" s="430" t="s">
        <v>212</v>
      </c>
      <c r="B88" s="431"/>
      <c r="C88" s="432"/>
      <c r="D88" s="432"/>
      <c r="E88" s="432"/>
      <c r="F88" s="432"/>
      <c r="G88" s="432"/>
      <c r="H88" s="432"/>
      <c r="I88" s="610" t="s">
        <v>434</v>
      </c>
      <c r="J88" s="25"/>
      <c r="K88" s="43"/>
      <c r="L88" s="175"/>
      <c r="M88" s="175"/>
      <c r="N88" s="866"/>
      <c r="O88" s="866"/>
      <c r="P88" s="866"/>
      <c r="Q88" s="866"/>
      <c r="R88" s="866"/>
      <c r="S88" s="866"/>
      <c r="T88" s="866"/>
      <c r="U88" s="866"/>
      <c r="V88" s="866"/>
      <c r="W88" s="866"/>
      <c r="Y88" s="866"/>
      <c r="Z88" s="868"/>
      <c r="AA88" s="868"/>
      <c r="AB88" s="866"/>
      <c r="AC88" s="866"/>
      <c r="AD88" s="868"/>
      <c r="AE88" s="868"/>
      <c r="AH88" s="13"/>
      <c r="AI88" s="13"/>
    </row>
    <row r="89" spans="1:49" ht="16.5" customHeight="1" thickBot="1" x14ac:dyDescent="0.3">
      <c r="A89" s="403" t="s">
        <v>199</v>
      </c>
      <c r="B89" s="404"/>
      <c r="C89" s="261"/>
      <c r="D89" s="261"/>
      <c r="E89" s="261"/>
      <c r="F89" s="261"/>
      <c r="G89" s="261"/>
      <c r="H89" s="261"/>
      <c r="I89" s="399" t="str">
        <f>IF(AND(C283="Yes",C285="Yes",I197="Yes"),AM108, IF(AND(C283="Yes", C285="No", I197="Yes"), AM80, " "))</f>
        <v xml:space="preserve"> </v>
      </c>
      <c r="J89" s="25"/>
      <c r="K89" s="43"/>
      <c r="L89" s="175"/>
      <c r="M89" s="175"/>
      <c r="N89" s="866"/>
      <c r="O89" s="866"/>
      <c r="P89" s="866"/>
      <c r="Q89" s="866"/>
      <c r="R89" s="866"/>
      <c r="S89" s="866"/>
      <c r="T89" s="866"/>
      <c r="U89" s="866"/>
      <c r="V89" s="866"/>
      <c r="W89" s="866"/>
      <c r="Y89" s="866"/>
      <c r="Z89" s="868"/>
      <c r="AA89" s="868"/>
      <c r="AB89" s="866"/>
      <c r="AC89" s="866"/>
      <c r="AD89" s="868"/>
      <c r="AE89" s="868"/>
      <c r="AI89" s="13"/>
    </row>
    <row r="90" spans="1:49" ht="16.5" customHeight="1" thickTop="1" thickBot="1" x14ac:dyDescent="0.3">
      <c r="A90" s="910" t="s">
        <v>188</v>
      </c>
      <c r="B90" s="404"/>
      <c r="C90" s="261"/>
      <c r="D90" s="261"/>
      <c r="E90" s="261"/>
      <c r="F90" s="261"/>
      <c r="G90" s="261"/>
      <c r="H90" s="261"/>
      <c r="I90" s="612"/>
      <c r="J90" s="25"/>
      <c r="K90" s="43"/>
      <c r="L90" s="175"/>
      <c r="M90" s="175"/>
      <c r="N90" s="866"/>
      <c r="O90" s="866"/>
      <c r="P90" s="866"/>
      <c r="Q90" s="866"/>
      <c r="R90" s="866"/>
      <c r="S90" s="866"/>
      <c r="T90" s="866"/>
      <c r="U90" s="866"/>
      <c r="V90" s="866"/>
      <c r="W90" s="866"/>
      <c r="Y90" s="866"/>
      <c r="Z90" s="868"/>
      <c r="AA90" s="868"/>
      <c r="AB90" s="866"/>
      <c r="AC90" s="866"/>
      <c r="AD90" s="868"/>
      <c r="AE90" s="868"/>
    </row>
    <row r="91" spans="1:49" ht="16.5" customHeight="1" thickTop="1" x14ac:dyDescent="0.25">
      <c r="A91" s="403" t="s">
        <v>201</v>
      </c>
      <c r="B91" s="404"/>
      <c r="C91" s="261"/>
      <c r="D91" s="261"/>
      <c r="E91" s="261"/>
      <c r="F91" s="261"/>
      <c r="G91" s="261"/>
      <c r="H91" s="261"/>
      <c r="I91" s="399" t="str">
        <f>IF(AND(C283="Yes",C285="Yes",I197="Yes"),AM110, IF(AND(C283="Yes", C285="No", I197="Yes"), AM82, " "))</f>
        <v xml:space="preserve"> </v>
      </c>
      <c r="J91" s="25"/>
      <c r="K91" s="43"/>
      <c r="L91" s="175"/>
      <c r="M91" s="175"/>
      <c r="N91" s="866"/>
      <c r="O91" s="866"/>
      <c r="P91" s="866"/>
      <c r="Q91" s="866"/>
      <c r="R91" s="866"/>
      <c r="S91" s="866"/>
      <c r="T91" s="866"/>
      <c r="U91" s="866"/>
      <c r="V91" s="866"/>
      <c r="W91" s="866"/>
      <c r="Y91" s="866"/>
      <c r="Z91" s="868"/>
      <c r="AA91" s="868"/>
      <c r="AB91" s="866"/>
      <c r="AC91" s="866"/>
      <c r="AD91" s="868"/>
      <c r="AE91" s="868"/>
    </row>
    <row r="92" spans="1:49" ht="8.25" customHeight="1" x14ac:dyDescent="0.3">
      <c r="A92" s="405"/>
      <c r="B92" s="404"/>
      <c r="C92" s="261"/>
      <c r="D92" s="261"/>
      <c r="E92" s="261"/>
      <c r="F92" s="261"/>
      <c r="G92" s="406"/>
      <c r="H92" s="407"/>
      <c r="I92" s="434"/>
      <c r="J92" s="25"/>
      <c r="K92" s="43"/>
      <c r="L92" s="175"/>
      <c r="M92" s="175"/>
      <c r="N92" s="866"/>
      <c r="O92" s="866"/>
      <c r="P92" s="866"/>
      <c r="Q92" s="866"/>
      <c r="R92" s="866"/>
      <c r="S92" s="866"/>
      <c r="T92" s="866"/>
      <c r="U92" s="866"/>
      <c r="V92" s="866"/>
      <c r="W92" s="866"/>
      <c r="Y92" s="866"/>
      <c r="Z92" s="868"/>
      <c r="AA92" s="868"/>
      <c r="AB92" s="866"/>
      <c r="AC92" s="866"/>
      <c r="AD92" s="868"/>
      <c r="AE92" s="868"/>
    </row>
    <row r="93" spans="1:49" ht="16.5" customHeight="1" thickBot="1" x14ac:dyDescent="0.3">
      <c r="A93" s="403" t="s">
        <v>200</v>
      </c>
      <c r="B93" s="404"/>
      <c r="C93" s="261"/>
      <c r="D93" s="261"/>
      <c r="E93" s="261"/>
      <c r="F93" s="261"/>
      <c r="G93" s="261"/>
      <c r="H93" s="261"/>
      <c r="I93" s="399" t="str">
        <f>IF(AND(C283="Yes",C285="Yes",I197="Yes"),AN108,IF(AND(C283="Yes",C285="No",I197="Yes"),AN80," "))</f>
        <v xml:space="preserve"> </v>
      </c>
      <c r="J93" s="25"/>
      <c r="K93" s="43"/>
      <c r="L93" s="175"/>
      <c r="M93" s="175"/>
      <c r="N93" s="866"/>
      <c r="O93" s="866"/>
      <c r="P93" s="866"/>
      <c r="Q93" s="866"/>
      <c r="R93" s="866"/>
      <c r="S93" s="866"/>
      <c r="T93" s="866"/>
      <c r="U93" s="866"/>
      <c r="V93" s="866"/>
      <c r="W93" s="866"/>
      <c r="Y93" s="866"/>
      <c r="Z93" s="868"/>
      <c r="AA93" s="868"/>
      <c r="AB93" s="866"/>
      <c r="AC93" s="866"/>
      <c r="AD93" s="868"/>
      <c r="AE93" s="868"/>
    </row>
    <row r="94" spans="1:49" ht="16.5" customHeight="1" thickTop="1" thickBot="1" x14ac:dyDescent="0.3">
      <c r="A94" s="910" t="s">
        <v>52</v>
      </c>
      <c r="B94" s="404"/>
      <c r="C94" s="261"/>
      <c r="D94" s="261"/>
      <c r="E94" s="261"/>
      <c r="F94" s="261"/>
      <c r="G94" s="261"/>
      <c r="H94" s="261"/>
      <c r="I94" s="612"/>
      <c r="J94" s="25"/>
      <c r="K94" s="43"/>
      <c r="L94" s="175"/>
      <c r="M94" s="175"/>
      <c r="N94" s="866"/>
      <c r="O94" s="866"/>
      <c r="P94" s="866"/>
      <c r="Q94" s="866"/>
      <c r="R94" s="866"/>
      <c r="S94" s="866"/>
      <c r="T94" s="866"/>
      <c r="U94" s="866"/>
      <c r="V94" s="866"/>
      <c r="W94" s="866"/>
      <c r="Y94" s="866"/>
      <c r="Z94" s="868"/>
      <c r="AA94" s="868"/>
      <c r="AB94" s="866"/>
      <c r="AC94" s="866"/>
      <c r="AD94" s="868"/>
      <c r="AE94" s="868"/>
    </row>
    <row r="95" spans="1:49" ht="16.5" customHeight="1" thickTop="1" x14ac:dyDescent="0.25">
      <c r="A95" s="403" t="s">
        <v>202</v>
      </c>
      <c r="B95" s="226"/>
      <c r="C95" s="301"/>
      <c r="D95" s="301"/>
      <c r="E95" s="301"/>
      <c r="F95" s="301"/>
      <c r="G95" s="301"/>
      <c r="H95" s="301"/>
      <c r="I95" s="401" t="str">
        <f>IF(AND(C283="Yes",C285="Yes",I197="Yes"),AN110,IF(AND(C283="Yes",C285="No",I197="Yes"),AN82," "))</f>
        <v xml:space="preserve"> </v>
      </c>
      <c r="J95" s="22"/>
      <c r="K95" s="43"/>
      <c r="L95" s="175"/>
      <c r="M95" s="175"/>
      <c r="N95" s="866"/>
      <c r="O95" s="866"/>
      <c r="P95" s="866"/>
      <c r="Q95" s="866"/>
      <c r="R95" s="866"/>
      <c r="S95" s="866"/>
      <c r="T95" s="866"/>
      <c r="U95" s="866"/>
      <c r="V95" s="866"/>
      <c r="W95" s="866"/>
      <c r="Y95" s="866"/>
      <c r="Z95" s="868"/>
      <c r="AA95" s="868"/>
      <c r="AB95" s="866"/>
      <c r="AC95" s="866"/>
      <c r="AD95" s="868"/>
      <c r="AE95" s="868"/>
    </row>
    <row r="96" spans="1:49" ht="5.25" customHeight="1" x14ac:dyDescent="0.3">
      <c r="B96" s="39"/>
      <c r="C96" s="22"/>
      <c r="D96" s="22"/>
      <c r="E96" s="22"/>
      <c r="F96" s="22"/>
      <c r="G96" s="167"/>
      <c r="H96" s="168"/>
      <c r="I96" s="434"/>
      <c r="J96" s="22"/>
      <c r="K96" s="43"/>
      <c r="L96" s="175"/>
      <c r="M96" s="175"/>
      <c r="N96" s="866"/>
      <c r="O96" s="866"/>
      <c r="P96" s="866"/>
      <c r="Q96" s="866"/>
      <c r="R96" s="866"/>
      <c r="S96" s="866"/>
      <c r="T96" s="866"/>
      <c r="U96" s="866"/>
      <c r="V96" s="866"/>
      <c r="W96" s="866"/>
      <c r="Y96" s="866"/>
      <c r="Z96" s="868"/>
      <c r="AA96" s="868"/>
      <c r="AB96" s="866"/>
      <c r="AC96" s="866"/>
      <c r="AD96" s="868"/>
      <c r="AE96" s="868"/>
    </row>
    <row r="97" spans="1:49" ht="16.5" customHeight="1" x14ac:dyDescent="0.25">
      <c r="A97" s="403"/>
      <c r="B97" s="412" t="str">
        <f>IF(I197="Yes", "Combined F&amp;A Rate", " ")</f>
        <v xml:space="preserve"> </v>
      </c>
      <c r="C97" s="413" t="str">
        <f>IF(I197="Yes", AO81, " ")</f>
        <v xml:space="preserve"> </v>
      </c>
      <c r="D97" s="866"/>
      <c r="E97" s="301"/>
      <c r="F97" s="301"/>
      <c r="G97" s="410" t="str">
        <f>IF(I197="Yes", "Amount of Base Subtotal", " ")</f>
        <v xml:space="preserve"> </v>
      </c>
      <c r="H97" s="614" t="str">
        <f>IF(I197="Yes", I89+I93, " ")</f>
        <v xml:space="preserve"> </v>
      </c>
      <c r="I97" s="435"/>
      <c r="J97" s="22"/>
      <c r="K97" s="43"/>
      <c r="L97" s="175"/>
      <c r="M97" s="175"/>
      <c r="N97" s="866"/>
      <c r="O97" s="866"/>
      <c r="P97" s="866"/>
      <c r="Q97" s="866"/>
      <c r="R97" s="866"/>
      <c r="S97" s="866"/>
      <c r="T97" s="866"/>
      <c r="U97" s="866"/>
      <c r="V97" s="866"/>
      <c r="W97" s="866"/>
      <c r="Y97" s="866"/>
      <c r="Z97" s="868"/>
      <c r="AA97" s="868"/>
      <c r="AB97" s="866"/>
      <c r="AC97" s="866"/>
      <c r="AD97" s="868"/>
      <c r="AE97" s="868"/>
    </row>
    <row r="98" spans="1:49" ht="16.5" customHeight="1" thickBot="1" x14ac:dyDescent="0.3">
      <c r="A98" s="408" t="s">
        <v>156</v>
      </c>
      <c r="B98" s="409"/>
      <c r="C98" s="375"/>
      <c r="D98" s="375"/>
      <c r="E98" s="375"/>
      <c r="F98" s="375"/>
      <c r="G98" s="375"/>
      <c r="H98" s="375"/>
      <c r="I98" s="402" t="str">
        <f>IF(AND(C283="Yes",C285="Yes",I197="Yes"),I91+I95, IF(AND(C283="Yes", C285="No", I197="Yes"), I91+I95, " "))</f>
        <v xml:space="preserve"> </v>
      </c>
      <c r="J98" s="22"/>
      <c r="K98" s="43"/>
      <c r="L98" s="175"/>
      <c r="M98" s="175"/>
      <c r="N98" s="866"/>
      <c r="O98" s="866"/>
      <c r="P98" s="866"/>
      <c r="Q98" s="866"/>
      <c r="R98" s="866"/>
      <c r="S98" s="866"/>
      <c r="T98" s="866"/>
      <c r="U98" s="866"/>
      <c r="V98" s="866"/>
      <c r="W98" s="866"/>
      <c r="Y98" s="866"/>
      <c r="Z98" s="868"/>
      <c r="AA98" s="868"/>
      <c r="AB98" s="866"/>
      <c r="AC98" s="866"/>
      <c r="AD98" s="868"/>
      <c r="AE98" s="868"/>
      <c r="AK98" s="127" t="s">
        <v>193</v>
      </c>
      <c r="AO98" s="121">
        <f>K85</f>
        <v>0</v>
      </c>
    </row>
    <row r="99" spans="1:49" ht="16.5" customHeight="1" x14ac:dyDescent="0.25">
      <c r="A99" s="910"/>
      <c r="B99" s="226"/>
      <c r="C99" s="262"/>
      <c r="D99" s="262"/>
      <c r="E99" s="262"/>
      <c r="F99" s="262"/>
      <c r="G99" s="262"/>
      <c r="H99" s="415"/>
      <c r="I99" s="301"/>
      <c r="J99" s="22"/>
      <c r="K99" s="44"/>
      <c r="L99" s="174"/>
      <c r="M99" s="174"/>
      <c r="N99" s="866"/>
      <c r="O99" s="866"/>
      <c r="P99" s="866"/>
      <c r="Q99" s="866"/>
      <c r="R99" s="866"/>
      <c r="S99" s="866"/>
      <c r="T99" s="866"/>
      <c r="U99" s="866"/>
      <c r="V99" s="866"/>
      <c r="W99" s="866"/>
      <c r="Y99" s="866"/>
      <c r="Z99" s="868"/>
      <c r="AA99" s="868"/>
      <c r="AB99" s="866"/>
      <c r="AC99" s="866"/>
      <c r="AD99" s="868"/>
      <c r="AE99" s="868"/>
      <c r="AJ99" s="13"/>
      <c r="AK99" s="127" t="s">
        <v>192</v>
      </c>
      <c r="AL99" s="13"/>
      <c r="AM99" s="14"/>
      <c r="AN99" s="4"/>
      <c r="AO99" s="128">
        <f>AO86</f>
        <v>0</v>
      </c>
    </row>
    <row r="100" spans="1:49" ht="16.5" customHeight="1" x14ac:dyDescent="0.25">
      <c r="A100" s="341" t="s">
        <v>49</v>
      </c>
      <c r="B100" s="342"/>
      <c r="C100" s="301"/>
      <c r="D100" s="301"/>
      <c r="E100" s="301"/>
      <c r="F100" s="301"/>
      <c r="G100" s="301"/>
      <c r="H100" s="301"/>
      <c r="I100" s="301"/>
      <c r="J100" s="22"/>
      <c r="K100" s="42"/>
      <c r="L100" s="180"/>
      <c r="M100" s="180"/>
      <c r="N100" s="326"/>
      <c r="O100" s="326"/>
      <c r="P100" s="326"/>
      <c r="Q100" s="326"/>
      <c r="R100" s="326"/>
      <c r="S100" s="326"/>
      <c r="T100" s="326"/>
      <c r="U100" s="326"/>
      <c r="V100" s="326"/>
      <c r="W100" s="326"/>
      <c r="X100" s="326"/>
      <c r="Y100" s="326"/>
      <c r="Z100" s="510"/>
      <c r="AA100" s="510"/>
      <c r="AB100" s="326"/>
      <c r="AC100" s="326"/>
      <c r="AD100" s="510"/>
      <c r="AE100" s="510"/>
      <c r="AF100" s="13"/>
      <c r="AG100" s="13"/>
      <c r="AH100" s="13"/>
      <c r="AI100" s="13"/>
      <c r="AJ100" s="13"/>
      <c r="AK100" s="127" t="s">
        <v>163</v>
      </c>
      <c r="AL100" s="13"/>
      <c r="AM100" s="13"/>
      <c r="AO100" s="158">
        <f>IF(AO99&gt;AO98, 0, AO98-AO99)</f>
        <v>0</v>
      </c>
      <c r="AP100" s="326"/>
      <c r="AQ100" s="326"/>
      <c r="AR100" s="326"/>
      <c r="AS100" s="326"/>
      <c r="AT100" s="326"/>
      <c r="AU100" s="326"/>
      <c r="AV100" s="326"/>
      <c r="AW100" s="326"/>
    </row>
    <row r="101" spans="1:49" ht="16.5" customHeight="1" thickBot="1" x14ac:dyDescent="0.3">
      <c r="A101" s="910" t="s">
        <v>24</v>
      </c>
      <c r="B101" s="226"/>
      <c r="C101" s="301"/>
      <c r="D101" s="301"/>
      <c r="E101" s="301"/>
      <c r="F101" s="301"/>
      <c r="G101" s="301"/>
      <c r="H101" s="301"/>
      <c r="I101" s="46">
        <f>IF(AND(C283="Yes",C285="Yes"),K85-I63-G77-K75-K55-K34+K186+K129,IF(AND(C283="Yes",C285="No"),I84-I63-G77-K75-K55-K34+K186+K129, K80-K230-K231-K232))</f>
        <v>0</v>
      </c>
      <c r="J101" s="25"/>
      <c r="K101" s="42"/>
      <c r="L101" s="180"/>
      <c r="M101" s="180"/>
      <c r="N101" s="426"/>
      <c r="O101" s="426"/>
      <c r="P101" s="427"/>
      <c r="Q101" s="326"/>
      <c r="R101" s="326"/>
      <c r="S101" s="326"/>
      <c r="T101" s="326"/>
      <c r="U101" s="326"/>
      <c r="V101" s="326"/>
      <c r="W101" s="326"/>
      <c r="X101" s="326"/>
      <c r="Y101" s="326"/>
      <c r="Z101" s="510"/>
      <c r="AA101" s="510"/>
      <c r="AB101" s="326"/>
      <c r="AC101" s="326"/>
      <c r="AD101" s="510"/>
      <c r="AE101" s="510"/>
      <c r="AF101" s="13"/>
      <c r="AG101" s="13"/>
      <c r="AH101" s="13"/>
      <c r="AI101" s="13"/>
      <c r="AK101" s="126" t="s">
        <v>164</v>
      </c>
      <c r="AM101" s="125" t="e">
        <f>AM80/AO80</f>
        <v>#DIV/0!</v>
      </c>
      <c r="AN101" s="125" t="e">
        <f>AN80/AO80</f>
        <v>#DIV/0!</v>
      </c>
      <c r="AO101" s="152" t="e">
        <f>AM101+AN101</f>
        <v>#DIV/0!</v>
      </c>
      <c r="AP101" s="326"/>
      <c r="AQ101" s="326"/>
      <c r="AR101" s="326"/>
      <c r="AS101" s="326"/>
      <c r="AT101" s="326"/>
      <c r="AU101" s="326"/>
      <c r="AV101" s="326"/>
      <c r="AW101" s="326"/>
    </row>
    <row r="102" spans="1:49" ht="16.5" customHeight="1" thickTop="1" thickBot="1" x14ac:dyDescent="0.3">
      <c r="A102" s="910" t="s">
        <v>52</v>
      </c>
      <c r="B102" s="226"/>
      <c r="C102" s="301"/>
      <c r="D102" s="301"/>
      <c r="E102" s="301"/>
      <c r="F102" s="301"/>
      <c r="G102" s="301"/>
      <c r="H102" s="301"/>
      <c r="I102" s="616">
        <v>0.69499999999999995</v>
      </c>
      <c r="J102" s="47"/>
      <c r="K102" s="109"/>
      <c r="L102" s="174"/>
      <c r="M102" s="174"/>
      <c r="N102" s="326"/>
      <c r="O102" s="326"/>
      <c r="P102" s="427"/>
      <c r="Q102" s="326"/>
      <c r="R102" s="326"/>
      <c r="S102" s="326"/>
      <c r="T102" s="326"/>
      <c r="U102" s="326"/>
      <c r="V102" s="326"/>
      <c r="W102" s="326"/>
      <c r="X102" s="326"/>
      <c r="Y102" s="326"/>
      <c r="Z102" s="510"/>
      <c r="AA102" s="510"/>
      <c r="AB102" s="326"/>
      <c r="AC102" s="326"/>
      <c r="AD102" s="510"/>
      <c r="AE102" s="510"/>
      <c r="AF102" s="13"/>
      <c r="AG102" s="13"/>
      <c r="AH102" s="13"/>
      <c r="AI102" s="13"/>
      <c r="AO102" s="13"/>
      <c r="AP102" s="326"/>
      <c r="AQ102" s="326"/>
      <c r="AR102" s="326"/>
      <c r="AS102" s="326"/>
      <c r="AT102" s="326"/>
      <c r="AU102" s="326"/>
      <c r="AV102" s="326"/>
      <c r="AW102" s="326"/>
    </row>
    <row r="103" spans="1:49" ht="16.5" customHeight="1" thickTop="1" thickBot="1" x14ac:dyDescent="0.3">
      <c r="A103" s="428" t="s">
        <v>48</v>
      </c>
      <c r="B103" s="226"/>
      <c r="C103" s="301"/>
      <c r="D103" s="301"/>
      <c r="E103" s="301"/>
      <c r="F103" s="301"/>
      <c r="G103" s="301"/>
      <c r="H103" s="301"/>
      <c r="I103" s="301"/>
      <c r="J103" s="301"/>
      <c r="K103" s="108">
        <f>IF(I197="No", I101*I102, " ")</f>
        <v>0</v>
      </c>
      <c r="L103" s="175"/>
      <c r="M103" s="175"/>
      <c r="N103" s="866"/>
      <c r="O103" s="866"/>
      <c r="P103" s="866"/>
      <c r="Q103" s="866"/>
      <c r="R103" s="866"/>
      <c r="S103" s="866"/>
      <c r="T103" s="866"/>
      <c r="U103" s="866"/>
      <c r="V103" s="866"/>
      <c r="W103" s="866"/>
      <c r="Y103" s="866"/>
      <c r="Z103" s="868"/>
      <c r="AA103" s="868"/>
      <c r="AB103" s="866"/>
      <c r="AC103" s="866"/>
      <c r="AD103" s="868"/>
      <c r="AE103" s="868"/>
      <c r="AK103" s="126" t="s">
        <v>178</v>
      </c>
      <c r="AM103" s="129" t="e">
        <f>AO100*AM101</f>
        <v>#DIV/0!</v>
      </c>
      <c r="AN103" s="4" t="e">
        <f>AO100*AN101</f>
        <v>#DIV/0!</v>
      </c>
      <c r="AO103" s="4" t="e">
        <f>AM103+AN103</f>
        <v>#DIV/0!</v>
      </c>
    </row>
    <row r="104" spans="1:49" ht="16.5" customHeight="1" x14ac:dyDescent="0.25">
      <c r="A104" s="910"/>
      <c r="B104" s="226"/>
      <c r="C104" s="262"/>
      <c r="D104" s="262"/>
      <c r="E104" s="262"/>
      <c r="F104" s="262"/>
      <c r="G104" s="262"/>
      <c r="H104" s="415"/>
      <c r="I104" s="301"/>
      <c r="J104" s="301"/>
      <c r="K104" s="44"/>
      <c r="L104" s="174"/>
      <c r="M104" s="174"/>
      <c r="N104" s="866"/>
      <c r="O104" s="866"/>
      <c r="P104" s="866"/>
      <c r="Q104" s="866"/>
      <c r="R104" s="866"/>
      <c r="S104" s="866"/>
      <c r="T104" s="866"/>
      <c r="U104" s="866"/>
      <c r="V104" s="866"/>
      <c r="W104" s="866"/>
      <c r="Y104" s="866"/>
      <c r="Z104" s="868"/>
      <c r="AA104" s="868"/>
      <c r="AB104" s="866"/>
      <c r="AC104" s="866"/>
      <c r="AD104" s="868"/>
      <c r="AE104" s="868"/>
      <c r="AK104" s="867" t="s">
        <v>179</v>
      </c>
      <c r="AM104" s="101">
        <f>I90</f>
        <v>0</v>
      </c>
      <c r="AN104" s="101">
        <f>I94</f>
        <v>0</v>
      </c>
      <c r="AO104" s="125" t="e">
        <f>(AM104*AM101)+(AN104*AN101)</f>
        <v>#DIV/0!</v>
      </c>
    </row>
    <row r="105" spans="1:49" ht="16.5" customHeight="1" x14ac:dyDescent="0.25">
      <c r="A105" s="910"/>
      <c r="B105" s="226"/>
      <c r="C105" s="262"/>
      <c r="D105" s="262"/>
      <c r="E105" s="262"/>
      <c r="F105" s="262"/>
      <c r="G105" s="262"/>
      <c r="H105" s="415"/>
      <c r="I105" s="301"/>
      <c r="J105" s="301"/>
      <c r="K105" s="44"/>
      <c r="L105" s="174"/>
      <c r="M105" s="174"/>
      <c r="N105" s="866"/>
      <c r="O105" s="866"/>
      <c r="P105" s="866"/>
      <c r="Q105" s="866"/>
      <c r="R105" s="866"/>
      <c r="S105" s="866"/>
      <c r="T105" s="866"/>
      <c r="U105" s="866"/>
      <c r="V105" s="866"/>
      <c r="W105" s="866"/>
      <c r="Y105" s="866"/>
      <c r="Z105" s="868"/>
      <c r="AA105" s="868"/>
      <c r="AB105" s="866"/>
      <c r="AC105" s="866"/>
      <c r="AD105" s="868"/>
      <c r="AE105" s="868"/>
      <c r="AK105" s="126" t="s">
        <v>180</v>
      </c>
      <c r="AM105" s="4" t="e">
        <f>AM103*AM104</f>
        <v>#DIV/0!</v>
      </c>
      <c r="AN105" s="4" t="e">
        <f>AN103*AN104</f>
        <v>#DIV/0!</v>
      </c>
      <c r="AO105" s="129" t="e">
        <f>AO103*AO104</f>
        <v>#DIV/0!</v>
      </c>
    </row>
    <row r="106" spans="1:49" ht="16.5" customHeight="1" x14ac:dyDescent="0.25">
      <c r="A106" s="910"/>
      <c r="B106" s="226"/>
      <c r="C106" s="262"/>
      <c r="D106" s="262"/>
      <c r="E106" s="262"/>
      <c r="F106" s="262"/>
      <c r="G106" s="262"/>
      <c r="H106" s="415"/>
      <c r="I106" s="301"/>
      <c r="J106" s="301"/>
      <c r="K106" s="44"/>
      <c r="L106" s="174"/>
      <c r="M106" s="174"/>
      <c r="N106" s="866"/>
      <c r="O106" s="866"/>
      <c r="P106" s="866"/>
      <c r="Q106" s="866"/>
      <c r="R106" s="866"/>
      <c r="S106" s="866"/>
      <c r="T106" s="866"/>
      <c r="U106" s="866"/>
      <c r="V106" s="866"/>
      <c r="W106" s="866"/>
      <c r="Y106" s="866"/>
      <c r="Z106" s="868"/>
      <c r="AA106" s="868"/>
      <c r="AB106" s="866"/>
      <c r="AC106" s="866"/>
      <c r="AD106" s="868"/>
      <c r="AE106" s="868"/>
    </row>
    <row r="107" spans="1:49" ht="16.5" customHeight="1" thickBot="1" x14ac:dyDescent="0.3">
      <c r="A107" s="910"/>
      <c r="B107" s="226"/>
      <c r="C107" s="262"/>
      <c r="D107" s="262"/>
      <c r="E107" s="262"/>
      <c r="F107" s="281"/>
      <c r="G107" s="262"/>
      <c r="H107" s="415"/>
      <c r="I107" s="301"/>
      <c r="J107" s="866"/>
      <c r="K107" s="44"/>
      <c r="L107" s="174"/>
      <c r="M107" s="174"/>
      <c r="N107" s="866"/>
      <c r="O107" s="866"/>
      <c r="P107" s="866"/>
      <c r="Q107" s="866"/>
      <c r="R107" s="866"/>
      <c r="S107" s="866"/>
      <c r="T107" s="866"/>
      <c r="U107" s="866"/>
      <c r="V107" s="866"/>
      <c r="W107" s="866"/>
      <c r="Y107" s="866"/>
      <c r="Z107" s="868"/>
      <c r="AA107" s="868"/>
      <c r="AB107" s="866"/>
      <c r="AC107" s="866"/>
      <c r="AD107" s="868"/>
      <c r="AE107" s="868"/>
    </row>
    <row r="108" spans="1:49" ht="16.5" customHeight="1" x14ac:dyDescent="0.25">
      <c r="A108" s="417" t="s">
        <v>18</v>
      </c>
      <c r="B108" s="418"/>
      <c r="C108" s="419"/>
      <c r="D108" s="419"/>
      <c r="E108" s="419"/>
      <c r="F108" s="419"/>
      <c r="G108" s="419"/>
      <c r="H108" s="420"/>
      <c r="I108" s="421"/>
      <c r="J108" s="421"/>
      <c r="K108" s="107">
        <f>IF(AND(C283="Yes",C285="Yes",I197="No"),K85+J63+K103,IF(AND(C283="Yes",C285="No",I197="No"),K80+K103,IF(AND(C283="Yes",C285="Yes",I197="Yes"),K85+J63+I98,IF(AND(C283="Yes",C285="No",I197="Yes"),K80+I98,IF(AND(C283="No", C285="No", I197="No"),K80+K103, K80+K103)))))</f>
        <v>0</v>
      </c>
      <c r="L108" s="175"/>
      <c r="M108" s="175"/>
      <c r="N108" s="866"/>
      <c r="O108" s="866"/>
      <c r="P108" s="866"/>
      <c r="Q108" s="866"/>
      <c r="R108" s="866"/>
      <c r="S108" s="866"/>
      <c r="T108" s="866"/>
      <c r="U108" s="866"/>
      <c r="V108" s="866"/>
      <c r="W108" s="866"/>
      <c r="Y108" s="866"/>
      <c r="Z108" s="868"/>
      <c r="AA108" s="868"/>
      <c r="AB108" s="866"/>
      <c r="AC108" s="866"/>
      <c r="AD108" s="868"/>
      <c r="AE108" s="868"/>
      <c r="AK108" s="126" t="s">
        <v>184</v>
      </c>
      <c r="AM108" s="4" t="e">
        <f>AM80+AM103</f>
        <v>#DIV/0!</v>
      </c>
      <c r="AN108" s="4" t="e">
        <f>AN80+AN103</f>
        <v>#DIV/0!</v>
      </c>
      <c r="AO108" s="4" t="e">
        <f>AM108+AN108</f>
        <v>#DIV/0!</v>
      </c>
    </row>
    <row r="109" spans="1:49" ht="16.5" customHeight="1" x14ac:dyDescent="0.25">
      <c r="A109" s="617"/>
      <c r="B109" s="618"/>
      <c r="C109" s="866"/>
      <c r="D109" s="866"/>
      <c r="E109" s="866"/>
      <c r="F109" s="866"/>
      <c r="G109" s="866"/>
      <c r="H109" s="866"/>
      <c r="I109" s="619"/>
      <c r="J109" s="619"/>
      <c r="K109" s="620"/>
      <c r="L109" s="185"/>
      <c r="M109" s="185"/>
      <c r="N109" s="866"/>
      <c r="O109" s="866"/>
      <c r="P109" s="866"/>
      <c r="Q109" s="866"/>
      <c r="R109" s="866"/>
      <c r="S109" s="866"/>
      <c r="T109" s="866"/>
      <c r="U109" s="866"/>
      <c r="V109" s="866"/>
      <c r="W109" s="866"/>
      <c r="Y109" s="866"/>
      <c r="Z109" s="868"/>
      <c r="AA109" s="868"/>
      <c r="AB109" s="866"/>
      <c r="AC109" s="866"/>
      <c r="AD109" s="868"/>
      <c r="AE109" s="868"/>
      <c r="AK109" s="867" t="s">
        <v>179</v>
      </c>
      <c r="AM109" s="101">
        <f>I90</f>
        <v>0</v>
      </c>
      <c r="AN109" s="101">
        <f>I94</f>
        <v>0</v>
      </c>
      <c r="AO109" s="154" t="e">
        <f>AO104</f>
        <v>#DIV/0!</v>
      </c>
    </row>
    <row r="110" spans="1:49" ht="14.4" thickBot="1" x14ac:dyDescent="0.3">
      <c r="A110" s="843"/>
      <c r="B110" s="844"/>
      <c r="C110" s="845"/>
      <c r="D110" s="845"/>
      <c r="E110" s="845"/>
      <c r="F110" s="845"/>
      <c r="G110" s="845"/>
      <c r="H110" s="845"/>
      <c r="I110" s="845"/>
      <c r="J110" s="845"/>
      <c r="K110" s="845"/>
      <c r="L110" s="186"/>
      <c r="M110" s="186"/>
      <c r="N110" s="866"/>
      <c r="O110" s="866"/>
      <c r="P110" s="866"/>
      <c r="Q110" s="866"/>
      <c r="R110" s="866"/>
      <c r="S110" s="866"/>
      <c r="T110" s="866"/>
      <c r="U110" s="866"/>
      <c r="V110" s="866"/>
      <c r="W110" s="866"/>
      <c r="Y110" s="866"/>
      <c r="Z110" s="868"/>
      <c r="AA110" s="868"/>
      <c r="AB110" s="866"/>
      <c r="AC110" s="866"/>
      <c r="AD110" s="868"/>
      <c r="AE110" s="868"/>
      <c r="AK110" s="153" t="s">
        <v>182</v>
      </c>
      <c r="AL110" s="904"/>
      <c r="AM110" s="121" t="e">
        <f>AM82+AM105</f>
        <v>#DIV/0!</v>
      </c>
      <c r="AN110" s="121" t="e">
        <f>AN82+AN105</f>
        <v>#DIV/0!</v>
      </c>
      <c r="AO110" s="121" t="e">
        <f>AM110+AN110</f>
        <v>#DIV/0!</v>
      </c>
    </row>
    <row r="111" spans="1:49" x14ac:dyDescent="0.25">
      <c r="A111" s="863" t="s">
        <v>441</v>
      </c>
      <c r="B111" s="864"/>
      <c r="C111" s="865"/>
      <c r="D111" s="865"/>
      <c r="E111" s="865"/>
      <c r="F111" s="865"/>
      <c r="G111" s="865"/>
      <c r="H111" s="865"/>
      <c r="I111" s="865"/>
      <c r="J111" s="865"/>
      <c r="K111" s="865"/>
      <c r="L111" s="186"/>
      <c r="M111" s="186"/>
      <c r="N111" s="866"/>
      <c r="O111" s="866"/>
      <c r="P111" s="866"/>
      <c r="Q111" s="866"/>
      <c r="R111" s="866"/>
      <c r="S111" s="866"/>
      <c r="T111" s="866"/>
      <c r="U111" s="866"/>
      <c r="V111" s="866"/>
      <c r="W111" s="866"/>
      <c r="Y111" s="866"/>
      <c r="Z111" s="868"/>
      <c r="AA111" s="868"/>
      <c r="AB111" s="866"/>
      <c r="AC111" s="866"/>
      <c r="AD111" s="868"/>
      <c r="AE111" s="868"/>
      <c r="AM111" s="129" t="e">
        <f>AM108*AM109</f>
        <v>#DIV/0!</v>
      </c>
      <c r="AN111" s="129" t="e">
        <f>AN108*AN109</f>
        <v>#DIV/0!</v>
      </c>
      <c r="AO111" s="129" t="e">
        <f>AO108*AO104</f>
        <v>#DIV/0!</v>
      </c>
    </row>
    <row r="112" spans="1:49" ht="25.5" customHeight="1" thickBot="1" x14ac:dyDescent="0.4">
      <c r="A112" s="832" t="s">
        <v>430</v>
      </c>
      <c r="B112" s="453"/>
      <c r="C112" s="328"/>
      <c r="D112" s="328"/>
      <c r="E112" s="328"/>
      <c r="F112" s="328"/>
      <c r="G112" s="328"/>
      <c r="H112" s="328"/>
      <c r="I112" s="328"/>
      <c r="J112" s="328"/>
      <c r="K112" s="443"/>
      <c r="L112" s="90"/>
      <c r="M112" s="90"/>
      <c r="N112" s="866"/>
      <c r="O112" s="866"/>
      <c r="P112" s="866"/>
      <c r="Q112" s="866"/>
      <c r="R112" s="866"/>
      <c r="S112" s="866"/>
      <c r="T112" s="866"/>
      <c r="U112" s="866"/>
      <c r="V112" s="866"/>
      <c r="W112" s="866"/>
      <c r="Y112" s="866"/>
      <c r="Z112" s="868"/>
      <c r="AA112" s="868"/>
      <c r="AB112" s="866"/>
      <c r="AC112" s="866"/>
      <c r="AD112" s="868"/>
      <c r="AE112" s="868"/>
      <c r="AK112" s="126" t="s">
        <v>183</v>
      </c>
      <c r="AM112" s="125" t="e">
        <f>AM108/AO108</f>
        <v>#DIV/0!</v>
      </c>
      <c r="AN112" s="125" t="e">
        <f>AN108/AO108</f>
        <v>#DIV/0!</v>
      </c>
      <c r="AO112" s="154" t="e">
        <f>AM112+AN112</f>
        <v>#DIV/0!</v>
      </c>
    </row>
    <row r="113" spans="1:67" s="15" customFormat="1" ht="15" customHeight="1" thickTop="1" thickBot="1" x14ac:dyDescent="0.3">
      <c r="A113" s="319" t="s">
        <v>423</v>
      </c>
      <c r="B113" s="319"/>
      <c r="C113" s="320"/>
      <c r="D113" s="320"/>
      <c r="E113" s="321" t="s">
        <v>60</v>
      </c>
      <c r="F113" s="438"/>
      <c r="G113" s="320"/>
      <c r="H113" s="320"/>
      <c r="I113" s="320"/>
      <c r="J113" s="320"/>
      <c r="K113" s="454" t="s">
        <v>272</v>
      </c>
      <c r="L113" s="190"/>
      <c r="M113" s="190"/>
      <c r="N113" s="326"/>
      <c r="O113" s="326"/>
      <c r="P113" s="640"/>
      <c r="Q113" s="326"/>
      <c r="R113" s="326"/>
      <c r="S113" s="326"/>
      <c r="T113" s="326"/>
      <c r="U113" s="326"/>
      <c r="V113" s="326"/>
      <c r="W113" s="326"/>
      <c r="X113" s="326"/>
      <c r="Y113" s="326"/>
      <c r="Z113" s="510"/>
      <c r="AA113" s="510"/>
      <c r="AB113" s="326"/>
      <c r="AC113" s="326"/>
      <c r="AD113" s="510"/>
      <c r="AE113" s="510"/>
      <c r="AF113" s="13"/>
      <c r="AG113" s="13"/>
      <c r="AH113" s="13"/>
      <c r="AI113" s="13"/>
      <c r="AJ113" s="13"/>
      <c r="AK113" s="13"/>
      <c r="AL113" s="13"/>
      <c r="AM113" s="13"/>
      <c r="AN113" s="13"/>
      <c r="AO113" s="13"/>
      <c r="AP113" s="326"/>
      <c r="AQ113" s="326"/>
      <c r="AR113" s="326"/>
      <c r="AS113" s="326"/>
      <c r="AT113" s="326"/>
      <c r="AU113" s="326"/>
      <c r="AV113" s="326"/>
      <c r="AW113" s="326"/>
      <c r="AX113" s="326"/>
      <c r="AY113" s="326"/>
      <c r="AZ113" s="326"/>
      <c r="BA113" s="13"/>
      <c r="BB113" s="13"/>
      <c r="BC113" s="13"/>
      <c r="BD113" s="13"/>
      <c r="BE113" s="13"/>
      <c r="BF113" s="13"/>
      <c r="BG113" s="13"/>
      <c r="BH113" s="13"/>
      <c r="BI113" s="13"/>
      <c r="BJ113" s="13"/>
      <c r="BK113" s="13"/>
      <c r="BL113" s="13"/>
      <c r="BM113" s="13"/>
      <c r="BN113" s="13"/>
      <c r="BO113" s="13"/>
    </row>
    <row r="114" spans="1:67" ht="16.5" customHeight="1" thickTop="1" x14ac:dyDescent="0.25">
      <c r="A114" s="438" t="s">
        <v>129</v>
      </c>
      <c r="B114" s="438"/>
      <c r="C114" s="438"/>
      <c r="D114" s="438"/>
      <c r="E114" s="438"/>
      <c r="F114" s="438"/>
      <c r="G114" s="438"/>
      <c r="H114" s="439"/>
      <c r="I114" s="438"/>
      <c r="J114" s="438"/>
      <c r="K114" s="320"/>
      <c r="L114" s="23"/>
      <c r="M114" s="23"/>
      <c r="N114" s="326"/>
      <c r="O114" s="326"/>
      <c r="P114" s="326"/>
      <c r="Q114" s="326"/>
      <c r="R114" s="326"/>
      <c r="S114" s="326"/>
      <c r="T114" s="326"/>
      <c r="U114" s="326"/>
      <c r="V114" s="326"/>
      <c r="W114" s="326"/>
      <c r="X114" s="326"/>
      <c r="Y114" s="326"/>
      <c r="Z114" s="510"/>
      <c r="AA114" s="510"/>
      <c r="AB114" s="326"/>
      <c r="AC114" s="326"/>
      <c r="AD114" s="510"/>
      <c r="AE114" s="510"/>
      <c r="AF114" s="13"/>
      <c r="AG114" s="13"/>
      <c r="AH114" s="13"/>
      <c r="AI114" s="13"/>
      <c r="AJ114" s="13"/>
      <c r="AK114" s="13"/>
      <c r="AL114" s="13"/>
      <c r="AM114" s="13"/>
      <c r="AN114" s="13"/>
      <c r="AO114" s="13"/>
      <c r="AP114" s="326"/>
      <c r="AQ114" s="326"/>
      <c r="AR114" s="326"/>
      <c r="AS114" s="326"/>
      <c r="AT114" s="326"/>
      <c r="AU114" s="326"/>
      <c r="AV114" s="326"/>
      <c r="AW114" s="326"/>
      <c r="AX114" s="326"/>
      <c r="AY114" s="326"/>
      <c r="AZ114" s="326"/>
      <c r="BA114" s="13"/>
      <c r="BB114" s="13"/>
      <c r="BC114" s="13"/>
      <c r="BD114" s="13"/>
      <c r="BE114" s="13"/>
      <c r="BF114" s="13"/>
      <c r="BG114" s="13"/>
      <c r="BH114" s="13"/>
      <c r="BI114" s="13"/>
      <c r="BJ114" s="13"/>
      <c r="BK114" s="13"/>
      <c r="BL114" s="13"/>
      <c r="BM114" s="13"/>
      <c r="BN114" s="13"/>
      <c r="BO114" s="13"/>
    </row>
    <row r="115" spans="1:67" ht="16.5" customHeight="1" thickBot="1" x14ac:dyDescent="0.3">
      <c r="A115" s="438" t="s">
        <v>196</v>
      </c>
      <c r="B115" s="438"/>
      <c r="C115" s="438"/>
      <c r="D115" s="438"/>
      <c r="E115" s="438"/>
      <c r="F115" s="438"/>
      <c r="G115" s="438"/>
      <c r="H115" s="439"/>
      <c r="I115" s="438"/>
      <c r="J115" s="438"/>
      <c r="K115" s="320"/>
      <c r="L115" s="23"/>
      <c r="M115" s="23"/>
      <c r="N115" s="326"/>
      <c r="O115" s="326"/>
      <c r="P115" s="326"/>
      <c r="Q115" s="326"/>
      <c r="R115" s="326"/>
      <c r="S115" s="326"/>
      <c r="T115" s="326"/>
      <c r="U115" s="326"/>
      <c r="V115" s="326"/>
      <c r="W115" s="326"/>
      <c r="X115" s="326"/>
      <c r="Y115" s="326"/>
      <c r="Z115" s="510"/>
      <c r="AA115" s="510"/>
      <c r="AB115" s="326"/>
      <c r="AC115" s="326"/>
      <c r="AD115" s="510"/>
      <c r="AE115" s="510"/>
      <c r="AF115" s="13"/>
      <c r="AG115" s="13"/>
      <c r="AH115" s="13"/>
      <c r="AI115" s="13"/>
      <c r="AJ115" s="13"/>
      <c r="AK115" s="13"/>
      <c r="AL115" s="13"/>
      <c r="AM115" s="13"/>
      <c r="AN115" s="13"/>
      <c r="AO115" s="13"/>
      <c r="AP115" s="326"/>
      <c r="AQ115" s="326"/>
      <c r="AR115" s="326"/>
      <c r="AS115" s="326"/>
      <c r="AT115" s="326"/>
      <c r="AU115" s="326"/>
      <c r="AV115" s="326"/>
      <c r="AW115" s="326"/>
      <c r="AX115" s="326"/>
      <c r="AY115" s="326"/>
      <c r="AZ115" s="326"/>
      <c r="BA115" s="13"/>
      <c r="BB115" s="13"/>
      <c r="BC115" s="13"/>
      <c r="BD115" s="13"/>
      <c r="BE115" s="13"/>
      <c r="BF115" s="13"/>
      <c r="BG115" s="13"/>
      <c r="BH115" s="13"/>
      <c r="BI115" s="13"/>
      <c r="BJ115" s="13"/>
      <c r="BK115" s="13"/>
      <c r="BL115" s="13"/>
      <c r="BM115" s="13"/>
      <c r="BN115" s="13"/>
      <c r="BO115" s="13"/>
    </row>
    <row r="116" spans="1:67" ht="16.5" hidden="1" customHeight="1" x14ac:dyDescent="0.25">
      <c r="A116" s="874"/>
      <c r="B116" s="874"/>
      <c r="C116" s="874"/>
      <c r="D116" s="874"/>
      <c r="E116" s="874"/>
      <c r="F116" s="671" t="s">
        <v>194</v>
      </c>
      <c r="G116" s="874"/>
      <c r="H116" s="672"/>
      <c r="I116" s="874"/>
      <c r="J116" s="561"/>
      <c r="K116" s="561"/>
      <c r="L116" s="23"/>
      <c r="M116" s="23"/>
      <c r="N116" s="326"/>
      <c r="O116" s="326"/>
      <c r="P116" s="326"/>
      <c r="Q116" s="326"/>
      <c r="R116" s="326"/>
      <c r="S116" s="326"/>
      <c r="T116" s="326"/>
      <c r="U116" s="326"/>
      <c r="V116" s="326"/>
      <c r="W116" s="326"/>
      <c r="X116" s="326"/>
      <c r="Y116" s="326"/>
      <c r="Z116" s="510"/>
      <c r="AA116" s="510"/>
      <c r="AB116" s="326"/>
      <c r="AC116" s="326"/>
      <c r="AD116" s="510"/>
      <c r="AE116" s="510"/>
      <c r="AF116" s="13"/>
      <c r="AG116" s="13"/>
      <c r="AH116" s="13"/>
      <c r="AI116" s="13"/>
      <c r="AJ116" s="13"/>
      <c r="AK116" s="13"/>
      <c r="AL116" s="13"/>
      <c r="AM116" s="13"/>
      <c r="AN116" s="13"/>
      <c r="AO116" s="13"/>
      <c r="AP116" s="326"/>
      <c r="AQ116" s="326"/>
      <c r="AR116" s="326"/>
      <c r="AS116" s="326"/>
      <c r="AT116" s="326"/>
      <c r="AU116" s="326"/>
      <c r="AV116" s="326"/>
      <c r="AW116" s="326"/>
      <c r="AX116" s="326"/>
      <c r="AY116" s="326"/>
      <c r="AZ116" s="326"/>
      <c r="BA116" s="13"/>
      <c r="BB116" s="13"/>
      <c r="BC116" s="13"/>
      <c r="BD116" s="13"/>
      <c r="BE116" s="13"/>
      <c r="BF116" s="13"/>
      <c r="BG116" s="13"/>
      <c r="BH116" s="13"/>
      <c r="BI116" s="13"/>
      <c r="BJ116" s="13"/>
      <c r="BK116" s="13"/>
      <c r="BL116" s="13"/>
      <c r="BM116" s="13"/>
      <c r="BN116" s="13"/>
      <c r="BO116" s="13"/>
    </row>
    <row r="117" spans="1:67" ht="16.5" hidden="1" customHeight="1" x14ac:dyDescent="0.25">
      <c r="A117" s="874"/>
      <c r="B117" s="874"/>
      <c r="C117" s="874"/>
      <c r="D117" s="874"/>
      <c r="E117" s="874"/>
      <c r="F117" s="673"/>
      <c r="G117" s="874"/>
      <c r="H117" s="672"/>
      <c r="I117" s="874"/>
      <c r="J117" s="561"/>
      <c r="K117" s="561"/>
      <c r="L117" s="23"/>
      <c r="M117" s="23"/>
      <c r="N117" s="326"/>
      <c r="O117" s="326"/>
      <c r="P117" s="326"/>
      <c r="Q117" s="326"/>
      <c r="R117" s="326"/>
      <c r="S117" s="326"/>
      <c r="T117" s="326"/>
      <c r="U117" s="326"/>
      <c r="V117" s="326"/>
      <c r="W117" s="326"/>
      <c r="X117" s="326"/>
      <c r="Y117" s="326"/>
      <c r="Z117" s="510"/>
      <c r="AA117" s="510"/>
      <c r="AB117" s="326"/>
      <c r="AC117" s="326"/>
      <c r="AD117" s="510"/>
      <c r="AE117" s="510"/>
      <c r="AF117" s="13"/>
      <c r="AG117" s="13"/>
      <c r="AH117" s="13"/>
      <c r="AI117" s="13"/>
      <c r="AJ117" s="13"/>
      <c r="AK117" s="13"/>
      <c r="AL117" s="13"/>
      <c r="AM117" s="13"/>
      <c r="AN117" s="13"/>
      <c r="AO117" s="13"/>
      <c r="AP117" s="326"/>
      <c r="AQ117" s="326"/>
      <c r="AR117" s="326"/>
      <c r="AS117" s="326"/>
      <c r="AT117" s="326"/>
      <c r="AU117" s="326"/>
      <c r="AV117" s="326"/>
      <c r="AW117" s="326"/>
      <c r="AX117" s="326"/>
      <c r="AY117" s="326"/>
      <c r="AZ117" s="326"/>
      <c r="BA117" s="13"/>
      <c r="BB117" s="13"/>
      <c r="BC117" s="13"/>
      <c r="BD117" s="13"/>
      <c r="BE117" s="13"/>
      <c r="BF117" s="13"/>
      <c r="BG117" s="13"/>
      <c r="BH117" s="13"/>
      <c r="BI117" s="13"/>
      <c r="BJ117" s="13"/>
      <c r="BK117" s="13"/>
      <c r="BL117" s="13"/>
      <c r="BM117" s="13"/>
      <c r="BN117" s="13"/>
      <c r="BO117" s="13"/>
    </row>
    <row r="118" spans="1:67" ht="16.5" hidden="1" customHeight="1" x14ac:dyDescent="0.25">
      <c r="A118" s="874"/>
      <c r="B118" s="874"/>
      <c r="C118" s="874"/>
      <c r="D118" s="874"/>
      <c r="E118" s="874"/>
      <c r="F118" s="673">
        <v>75000</v>
      </c>
      <c r="G118" s="874"/>
      <c r="H118" s="672"/>
      <c r="I118" s="874"/>
      <c r="J118" s="561"/>
      <c r="K118" s="561"/>
      <c r="L118" s="23"/>
      <c r="M118" s="23"/>
      <c r="N118" s="326"/>
      <c r="O118" s="326"/>
      <c r="P118" s="326"/>
      <c r="Q118" s="326"/>
      <c r="R118" s="326"/>
      <c r="S118" s="326"/>
      <c r="T118" s="326"/>
      <c r="U118" s="326"/>
      <c r="V118" s="326"/>
      <c r="W118" s="326"/>
      <c r="X118" s="326"/>
      <c r="Y118" s="326"/>
      <c r="Z118" s="510"/>
      <c r="AA118" s="510"/>
      <c r="AB118" s="326"/>
      <c r="AC118" s="326"/>
      <c r="AD118" s="510"/>
      <c r="AE118" s="510"/>
      <c r="AF118" s="13"/>
      <c r="AG118" s="13"/>
      <c r="AH118" s="13"/>
      <c r="AI118" s="13"/>
      <c r="AJ118" s="13"/>
      <c r="AK118" s="13"/>
      <c r="AL118" s="13"/>
      <c r="AM118" s="13"/>
      <c r="AN118" s="13"/>
      <c r="AO118" s="13"/>
      <c r="AP118" s="326"/>
      <c r="AQ118" s="326"/>
      <c r="AR118" s="326"/>
      <c r="AS118" s="326"/>
      <c r="AT118" s="326"/>
      <c r="AU118" s="326"/>
      <c r="AV118" s="326"/>
      <c r="AW118" s="326"/>
      <c r="AX118" s="326"/>
      <c r="AY118" s="326"/>
      <c r="AZ118" s="326"/>
      <c r="BA118" s="13"/>
      <c r="BB118" s="13"/>
      <c r="BC118" s="13"/>
      <c r="BD118" s="13"/>
      <c r="BE118" s="13"/>
      <c r="BF118" s="13"/>
      <c r="BG118" s="13"/>
      <c r="BH118" s="13"/>
      <c r="BI118" s="13"/>
      <c r="BJ118" s="13"/>
      <c r="BK118" s="13"/>
      <c r="BL118" s="13"/>
      <c r="BM118" s="13"/>
      <c r="BN118" s="13"/>
      <c r="BO118" s="13"/>
    </row>
    <row r="119" spans="1:67" ht="16.5" hidden="1" customHeight="1" x14ac:dyDescent="0.25">
      <c r="A119" s="874"/>
      <c r="B119" s="874"/>
      <c r="C119" s="874"/>
      <c r="D119" s="874"/>
      <c r="E119" s="874"/>
      <c r="F119" s="673">
        <v>90000</v>
      </c>
      <c r="G119" s="874"/>
      <c r="H119" s="672"/>
      <c r="I119" s="874"/>
      <c r="J119" s="561"/>
      <c r="K119" s="561"/>
      <c r="L119" s="23"/>
      <c r="M119" s="23"/>
      <c r="N119" s="326"/>
      <c r="O119" s="326"/>
      <c r="P119" s="326"/>
      <c r="Q119" s="326"/>
      <c r="R119" s="326"/>
      <c r="S119" s="326"/>
      <c r="T119" s="326"/>
      <c r="U119" s="326"/>
      <c r="V119" s="326"/>
      <c r="W119" s="326"/>
      <c r="X119" s="326"/>
      <c r="Y119" s="326"/>
      <c r="Z119" s="510"/>
      <c r="AA119" s="510"/>
      <c r="AB119" s="326"/>
      <c r="AC119" s="326"/>
      <c r="AD119" s="510"/>
      <c r="AE119" s="510"/>
      <c r="AF119" s="13"/>
      <c r="AG119" s="13"/>
      <c r="AH119" s="13"/>
      <c r="AI119" s="13"/>
      <c r="AJ119" s="13"/>
      <c r="AK119" s="13"/>
      <c r="AL119" s="13"/>
      <c r="AM119" s="13"/>
      <c r="AN119" s="13"/>
      <c r="AO119" s="13"/>
      <c r="AP119" s="326"/>
      <c r="AQ119" s="326"/>
      <c r="AR119" s="326"/>
      <c r="AS119" s="326"/>
      <c r="AT119" s="326"/>
      <c r="AU119" s="326"/>
      <c r="AV119" s="326"/>
      <c r="AW119" s="326"/>
      <c r="AX119" s="326"/>
      <c r="AY119" s="326"/>
      <c r="AZ119" s="326"/>
      <c r="BA119" s="13"/>
      <c r="BB119" s="13"/>
      <c r="BC119" s="13"/>
      <c r="BD119" s="13"/>
      <c r="BE119" s="13"/>
      <c r="BF119" s="13"/>
      <c r="BG119" s="13"/>
      <c r="BH119" s="13"/>
      <c r="BI119" s="13"/>
      <c r="BJ119" s="13"/>
      <c r="BK119" s="13"/>
      <c r="BL119" s="13"/>
      <c r="BM119" s="13"/>
      <c r="BN119" s="13"/>
      <c r="BO119" s="13"/>
    </row>
    <row r="120" spans="1:67" ht="16.5" hidden="1" customHeight="1" x14ac:dyDescent="0.25">
      <c r="A120" s="874"/>
      <c r="B120" s="874"/>
      <c r="C120" s="874"/>
      <c r="D120" s="874"/>
      <c r="E120" s="874"/>
      <c r="F120" s="673">
        <v>95000</v>
      </c>
      <c r="G120" s="874"/>
      <c r="H120" s="672"/>
      <c r="I120" s="874"/>
      <c r="J120" s="561"/>
      <c r="K120" s="561"/>
      <c r="L120" s="23"/>
      <c r="M120" s="23"/>
      <c r="N120" s="326"/>
      <c r="O120" s="326"/>
      <c r="P120" s="326"/>
      <c r="Q120" s="326"/>
      <c r="R120" s="326"/>
      <c r="S120" s="326"/>
      <c r="T120" s="326"/>
      <c r="U120" s="326"/>
      <c r="V120" s="326"/>
      <c r="W120" s="326"/>
      <c r="X120" s="326"/>
      <c r="Y120" s="326"/>
      <c r="Z120" s="510"/>
      <c r="AA120" s="510"/>
      <c r="AB120" s="326"/>
      <c r="AC120" s="326"/>
      <c r="AD120" s="510"/>
      <c r="AE120" s="510"/>
      <c r="AF120" s="13"/>
      <c r="AG120" s="13"/>
      <c r="AH120" s="13"/>
      <c r="AI120" s="13"/>
      <c r="AJ120" s="13"/>
      <c r="AK120" s="13"/>
      <c r="AL120" s="13"/>
      <c r="AM120" s="13"/>
      <c r="AN120" s="13"/>
      <c r="AO120" s="13"/>
      <c r="AP120" s="326"/>
      <c r="AQ120" s="326"/>
      <c r="AR120" s="326"/>
      <c r="AS120" s="326"/>
      <c r="AT120" s="326"/>
      <c r="AU120" s="326"/>
      <c r="AV120" s="326"/>
      <c r="AW120" s="326"/>
      <c r="AX120" s="326"/>
      <c r="AY120" s="326"/>
      <c r="AZ120" s="326"/>
      <c r="BA120" s="13"/>
      <c r="BB120" s="13"/>
      <c r="BC120" s="13"/>
      <c r="BD120" s="13"/>
      <c r="BE120" s="13"/>
      <c r="BF120" s="13"/>
      <c r="BG120" s="13"/>
      <c r="BH120" s="13"/>
      <c r="BI120" s="13"/>
      <c r="BJ120" s="13"/>
      <c r="BK120" s="13"/>
      <c r="BL120" s="13"/>
      <c r="BM120" s="13"/>
      <c r="BN120" s="13"/>
      <c r="BO120" s="13"/>
    </row>
    <row r="121" spans="1:67" ht="16.5" hidden="1" customHeight="1" x14ac:dyDescent="0.25">
      <c r="A121" s="874"/>
      <c r="B121" s="874"/>
      <c r="C121" s="874"/>
      <c r="D121" s="874"/>
      <c r="E121" s="874"/>
      <c r="F121" s="673">
        <v>100000</v>
      </c>
      <c r="G121" s="874"/>
      <c r="H121" s="672"/>
      <c r="I121" s="874"/>
      <c r="J121" s="561"/>
      <c r="K121" s="561"/>
      <c r="L121" s="23"/>
      <c r="M121" s="23"/>
      <c r="N121" s="326"/>
      <c r="O121" s="326"/>
      <c r="P121" s="326"/>
      <c r="Q121" s="326"/>
      <c r="R121" s="326"/>
      <c r="S121" s="326"/>
      <c r="T121" s="326"/>
      <c r="U121" s="326"/>
      <c r="V121" s="326"/>
      <c r="W121" s="326"/>
      <c r="X121" s="326"/>
      <c r="Y121" s="326"/>
      <c r="Z121" s="510"/>
      <c r="AA121" s="510"/>
      <c r="AB121" s="326"/>
      <c r="AC121" s="326"/>
      <c r="AD121" s="510"/>
      <c r="AE121" s="510"/>
      <c r="AF121" s="13"/>
      <c r="AG121" s="13"/>
      <c r="AH121" s="13"/>
      <c r="AI121" s="13"/>
      <c r="AJ121" s="13"/>
      <c r="AK121" s="13"/>
      <c r="AL121" s="13"/>
      <c r="AM121" s="13"/>
      <c r="AN121" s="13"/>
      <c r="AO121" s="13"/>
      <c r="AP121" s="326"/>
      <c r="AQ121" s="326"/>
      <c r="AR121" s="326"/>
      <c r="AS121" s="326"/>
      <c r="AT121" s="326"/>
      <c r="AU121" s="326"/>
      <c r="AV121" s="326"/>
      <c r="AW121" s="326"/>
      <c r="AX121" s="326"/>
      <c r="AY121" s="326"/>
      <c r="AZ121" s="326"/>
      <c r="BA121" s="13"/>
      <c r="BB121" s="13"/>
      <c r="BC121" s="13"/>
      <c r="BD121" s="13"/>
      <c r="BE121" s="13"/>
      <c r="BF121" s="13"/>
      <c r="BG121" s="13"/>
      <c r="BH121" s="13"/>
      <c r="BI121" s="13"/>
      <c r="BJ121" s="13"/>
      <c r="BK121" s="13"/>
      <c r="BL121" s="13"/>
      <c r="BM121" s="13"/>
      <c r="BN121" s="13"/>
      <c r="BO121" s="13"/>
    </row>
    <row r="122" spans="1:67" ht="16.5" hidden="1" customHeight="1" thickBot="1" x14ac:dyDescent="0.3">
      <c r="A122" s="874"/>
      <c r="B122" s="874"/>
      <c r="C122" s="874"/>
      <c r="D122" s="874"/>
      <c r="E122" s="874"/>
      <c r="F122" s="673">
        <v>181500</v>
      </c>
      <c r="G122" s="874"/>
      <c r="H122" s="672"/>
      <c r="I122" s="874"/>
      <c r="J122" s="561"/>
      <c r="K122" s="561"/>
      <c r="L122" s="23"/>
      <c r="M122" s="23"/>
      <c r="N122" s="326"/>
      <c r="O122" s="326"/>
      <c r="P122" s="326"/>
      <c r="Q122" s="326"/>
      <c r="R122" s="326"/>
      <c r="S122" s="326"/>
      <c r="T122" s="326"/>
      <c r="U122" s="326"/>
      <c r="V122" s="326"/>
      <c r="W122" s="326"/>
      <c r="X122" s="326"/>
      <c r="Y122" s="326"/>
      <c r="Z122" s="510"/>
      <c r="AA122" s="510"/>
      <c r="AB122" s="326"/>
      <c r="AC122" s="326"/>
      <c r="AD122" s="510"/>
      <c r="AE122" s="510"/>
      <c r="AF122" s="13"/>
      <c r="AG122" s="13"/>
      <c r="AH122" s="13"/>
      <c r="AI122" s="13"/>
      <c r="AJ122" s="13"/>
      <c r="AK122" s="13"/>
      <c r="AL122" s="13"/>
      <c r="AM122" s="13"/>
      <c r="AN122" s="13"/>
      <c r="AO122" s="13"/>
      <c r="AP122" s="326"/>
      <c r="AQ122" s="326"/>
      <c r="AR122" s="326"/>
      <c r="AS122" s="326"/>
      <c r="AT122" s="326"/>
      <c r="AU122" s="326"/>
      <c r="AV122" s="326"/>
      <c r="AW122" s="326"/>
      <c r="AX122" s="326"/>
      <c r="AY122" s="326"/>
      <c r="AZ122" s="326"/>
      <c r="BA122" s="13"/>
      <c r="BB122" s="13"/>
      <c r="BC122" s="13"/>
      <c r="BD122" s="13"/>
      <c r="BE122" s="13"/>
      <c r="BF122" s="13"/>
      <c r="BG122" s="13"/>
      <c r="BH122" s="13"/>
      <c r="BI122" s="13"/>
      <c r="BJ122" s="13"/>
      <c r="BK122" s="13"/>
      <c r="BL122" s="13"/>
      <c r="BM122" s="13"/>
      <c r="BN122" s="13"/>
      <c r="BO122" s="13"/>
    </row>
    <row r="123" spans="1:67" s="15" customFormat="1" ht="15" customHeight="1" thickTop="1" thickBot="1" x14ac:dyDescent="0.3">
      <c r="A123" s="438" t="s">
        <v>197</v>
      </c>
      <c r="B123" s="438"/>
      <c r="C123" s="438"/>
      <c r="D123" s="438"/>
      <c r="E123" s="438"/>
      <c r="F123" s="455"/>
      <c r="G123" s="438"/>
      <c r="H123" s="439"/>
      <c r="I123" s="438"/>
      <c r="J123" s="438"/>
      <c r="K123" s="320"/>
      <c r="L123" s="23"/>
      <c r="M123" s="23"/>
      <c r="N123" s="326"/>
      <c r="O123" s="326"/>
      <c r="P123" s="640"/>
      <c r="Q123" s="326"/>
      <c r="R123" s="326"/>
      <c r="S123" s="326"/>
      <c r="T123" s="326"/>
      <c r="U123" s="326"/>
      <c r="V123" s="326"/>
      <c r="W123" s="326"/>
      <c r="X123" s="326"/>
      <c r="Y123" s="326"/>
      <c r="Z123" s="510"/>
      <c r="AA123" s="510"/>
      <c r="AB123" s="326"/>
      <c r="AC123" s="326"/>
      <c r="AD123" s="510"/>
      <c r="AE123" s="510"/>
      <c r="AF123" s="13"/>
      <c r="AG123" s="13"/>
      <c r="AH123" s="13"/>
      <c r="AI123" s="13"/>
      <c r="AJ123" s="13"/>
      <c r="AK123" s="13"/>
      <c r="AL123" s="13"/>
      <c r="AM123" s="13"/>
      <c r="AN123" s="13"/>
      <c r="AO123" s="13"/>
      <c r="AP123" s="326"/>
      <c r="AQ123" s="326"/>
      <c r="AR123" s="326"/>
      <c r="AS123" s="326"/>
      <c r="AT123" s="326"/>
      <c r="AU123" s="326"/>
      <c r="AV123" s="326"/>
      <c r="AW123" s="326"/>
      <c r="AX123" s="326"/>
      <c r="AY123" s="326"/>
      <c r="AZ123" s="326"/>
      <c r="BA123" s="13"/>
      <c r="BB123" s="13"/>
      <c r="BC123" s="13"/>
      <c r="BD123" s="13"/>
      <c r="BE123" s="13"/>
      <c r="BF123" s="13"/>
      <c r="BG123" s="13"/>
      <c r="BH123" s="13"/>
      <c r="BI123" s="13"/>
      <c r="BJ123" s="13"/>
      <c r="BK123" s="13"/>
      <c r="BL123" s="13"/>
      <c r="BM123" s="13"/>
      <c r="BN123" s="13"/>
      <c r="BO123" s="13"/>
    </row>
    <row r="124" spans="1:67" s="15" customFormat="1" ht="15" customHeight="1" thickTop="1" thickBot="1" x14ac:dyDescent="0.3">
      <c r="A124" s="443"/>
      <c r="B124" s="453"/>
      <c r="C124" s="328"/>
      <c r="D124" s="328"/>
      <c r="E124" s="328"/>
      <c r="F124" s="328"/>
      <c r="G124" s="328"/>
      <c r="H124" s="328"/>
      <c r="I124" s="328"/>
      <c r="J124" s="328"/>
      <c r="K124" s="328"/>
      <c r="L124" s="23"/>
      <c r="M124" s="23"/>
      <c r="N124" s="326"/>
      <c r="O124" s="326"/>
      <c r="P124" s="640"/>
      <c r="Q124" s="326"/>
      <c r="R124" s="326"/>
      <c r="S124" s="326"/>
      <c r="T124" s="326"/>
      <c r="U124" s="326"/>
      <c r="V124" s="326"/>
      <c r="W124" s="326"/>
      <c r="X124" s="326"/>
      <c r="Y124" s="326"/>
      <c r="Z124" s="510"/>
      <c r="AA124" s="510"/>
      <c r="AB124" s="326"/>
      <c r="AC124" s="326"/>
      <c r="AD124" s="510"/>
      <c r="AE124" s="510"/>
      <c r="AF124" s="13"/>
      <c r="AG124" s="13"/>
      <c r="AH124" s="13"/>
      <c r="AI124" s="13"/>
      <c r="AJ124" s="13"/>
      <c r="AK124" s="13"/>
      <c r="AL124" s="13"/>
      <c r="AM124" s="13"/>
      <c r="AN124" s="13"/>
      <c r="AO124" s="13"/>
      <c r="AP124" s="326"/>
      <c r="AQ124" s="326"/>
      <c r="AR124" s="326"/>
      <c r="AS124" s="326"/>
      <c r="AT124" s="326"/>
      <c r="AU124" s="326"/>
      <c r="AV124" s="326"/>
      <c r="AW124" s="326"/>
      <c r="AX124" s="326"/>
      <c r="AY124" s="326"/>
      <c r="AZ124" s="326"/>
      <c r="BA124" s="13"/>
      <c r="BB124" s="13"/>
      <c r="BC124" s="13"/>
      <c r="BD124" s="13"/>
      <c r="BE124" s="13"/>
      <c r="BF124" s="13"/>
      <c r="BG124" s="13"/>
      <c r="BH124" s="13"/>
      <c r="BI124" s="13"/>
      <c r="BJ124" s="13"/>
      <c r="BK124" s="13"/>
      <c r="BL124" s="13"/>
      <c r="BM124" s="13"/>
      <c r="BN124" s="13"/>
      <c r="BO124" s="13"/>
    </row>
    <row r="125" spans="1:67" ht="15" thickTop="1" thickBot="1" x14ac:dyDescent="0.3">
      <c r="A125" s="319" t="s">
        <v>424</v>
      </c>
      <c r="B125" s="319"/>
      <c r="C125" s="320"/>
      <c r="D125" s="320"/>
      <c r="E125" s="321" t="s">
        <v>60</v>
      </c>
      <c r="F125" s="320"/>
      <c r="G125" s="320"/>
      <c r="H125" s="320"/>
      <c r="I125" s="320"/>
      <c r="J125" s="320"/>
      <c r="K125" s="456" t="s">
        <v>104</v>
      </c>
      <c r="L125" s="193"/>
      <c r="M125" s="193"/>
      <c r="N125" s="326"/>
      <c r="O125" s="326"/>
      <c r="P125" s="326"/>
      <c r="Q125" s="326"/>
      <c r="R125" s="326"/>
      <c r="S125" s="326"/>
      <c r="T125" s="326"/>
      <c r="U125" s="326"/>
      <c r="V125" s="326"/>
      <c r="W125" s="326"/>
      <c r="X125" s="326"/>
      <c r="Y125" s="326"/>
      <c r="Z125" s="510"/>
      <c r="AA125" s="510"/>
      <c r="AB125" s="326"/>
      <c r="AC125" s="326"/>
      <c r="AD125" s="510"/>
      <c r="AE125" s="510"/>
      <c r="AF125" s="13"/>
      <c r="AG125" s="13"/>
      <c r="AH125" s="13"/>
      <c r="AI125" s="13"/>
      <c r="AJ125" s="13"/>
      <c r="AK125" s="13"/>
      <c r="AL125" s="13"/>
      <c r="AM125" s="13"/>
      <c r="AN125" s="13"/>
      <c r="AO125" s="13"/>
      <c r="AP125" s="326"/>
      <c r="AQ125" s="326"/>
      <c r="AR125" s="326"/>
      <c r="AS125" s="326"/>
      <c r="AT125" s="326"/>
      <c r="AU125" s="326"/>
      <c r="AV125" s="326"/>
      <c r="AW125" s="326"/>
      <c r="AX125" s="326"/>
      <c r="AY125" s="326"/>
      <c r="AZ125" s="326"/>
      <c r="BA125" s="13"/>
      <c r="BB125" s="13"/>
      <c r="BC125" s="13"/>
      <c r="BD125" s="13"/>
      <c r="BE125" s="13"/>
      <c r="BF125" s="13"/>
      <c r="BG125" s="13"/>
      <c r="BH125" s="13"/>
      <c r="BI125" s="13"/>
      <c r="BJ125" s="13"/>
      <c r="BK125" s="13"/>
      <c r="BL125" s="13"/>
      <c r="BM125" s="13"/>
      <c r="BN125" s="13"/>
      <c r="BO125" s="13"/>
    </row>
    <row r="126" spans="1:67" ht="20.25" customHeight="1" thickTop="1" x14ac:dyDescent="0.25">
      <c r="A126" s="319" t="s">
        <v>126</v>
      </c>
      <c r="B126" s="319"/>
      <c r="C126" s="320"/>
      <c r="D126" s="320"/>
      <c r="E126" s="320"/>
      <c r="F126" s="320"/>
      <c r="G126" s="320"/>
      <c r="H126" s="320"/>
      <c r="I126" s="320"/>
      <c r="J126" s="320"/>
      <c r="K126" s="438"/>
      <c r="L126" s="90"/>
      <c r="M126" s="90"/>
      <c r="N126" s="326"/>
      <c r="O126" s="326"/>
      <c r="P126" s="326"/>
      <c r="Q126" s="326"/>
      <c r="R126" s="326"/>
      <c r="S126" s="326"/>
      <c r="T126" s="326"/>
      <c r="U126" s="326"/>
      <c r="V126" s="326"/>
      <c r="W126" s="326"/>
      <c r="X126" s="326"/>
      <c r="Y126" s="326"/>
      <c r="Z126" s="510"/>
      <c r="AA126" s="510"/>
      <c r="AB126" s="326"/>
      <c r="AC126" s="326"/>
      <c r="AD126" s="510"/>
      <c r="AE126" s="510"/>
      <c r="AF126" s="13"/>
      <c r="AG126" s="13"/>
      <c r="AH126" s="13"/>
      <c r="AI126" s="13"/>
      <c r="AJ126" s="13"/>
      <c r="AK126" s="13"/>
      <c r="AL126" s="13"/>
      <c r="AM126" s="13"/>
      <c r="AN126" s="13"/>
      <c r="AO126" s="13"/>
      <c r="AP126" s="326"/>
      <c r="AQ126" s="326"/>
      <c r="AR126" s="326"/>
      <c r="AS126" s="326"/>
      <c r="AT126" s="326"/>
      <c r="AU126" s="326"/>
      <c r="AV126" s="326"/>
      <c r="AW126" s="326"/>
      <c r="AX126" s="326"/>
      <c r="AY126" s="326"/>
      <c r="AZ126" s="326"/>
      <c r="BA126" s="13"/>
      <c r="BB126" s="13"/>
      <c r="BC126" s="13"/>
      <c r="BD126" s="13"/>
      <c r="BE126" s="13"/>
      <c r="BF126" s="13"/>
      <c r="BG126" s="13"/>
      <c r="BH126" s="13"/>
      <c r="BI126" s="13"/>
      <c r="BJ126" s="13"/>
      <c r="BK126" s="13"/>
      <c r="BL126" s="13"/>
      <c r="BM126" s="13"/>
      <c r="BN126" s="13"/>
      <c r="BO126" s="13"/>
    </row>
    <row r="127" spans="1:67" x14ac:dyDescent="0.25">
      <c r="A127" s="319" t="s">
        <v>130</v>
      </c>
      <c r="B127" s="320"/>
      <c r="C127" s="320"/>
      <c r="D127" s="320"/>
      <c r="E127" s="320"/>
      <c r="F127" s="320"/>
      <c r="G127" s="320"/>
      <c r="H127" s="320"/>
      <c r="I127" s="320"/>
      <c r="J127" s="320"/>
      <c r="K127" s="320"/>
      <c r="L127" s="23"/>
      <c r="M127" s="23"/>
      <c r="N127" s="866"/>
      <c r="O127" s="866"/>
      <c r="P127" s="866"/>
      <c r="Q127" s="866"/>
      <c r="R127" s="866"/>
      <c r="S127" s="866"/>
      <c r="T127" s="866"/>
      <c r="U127" s="866"/>
      <c r="V127" s="866"/>
      <c r="W127" s="866"/>
      <c r="Y127" s="866"/>
      <c r="Z127" s="868"/>
      <c r="AA127" s="868"/>
      <c r="AB127" s="866"/>
      <c r="AC127" s="866"/>
      <c r="AD127" s="868"/>
      <c r="AE127" s="868"/>
    </row>
    <row r="128" spans="1:67" ht="14.4" thickBot="1" x14ac:dyDescent="0.3">
      <c r="A128" s="319" t="s">
        <v>166</v>
      </c>
      <c r="B128" s="320"/>
      <c r="C128" s="320"/>
      <c r="D128" s="320"/>
      <c r="E128" s="320"/>
      <c r="F128" s="320"/>
      <c r="G128" s="320"/>
      <c r="H128" s="320"/>
      <c r="I128" s="320"/>
      <c r="J128" s="320"/>
      <c r="K128" s="320"/>
      <c r="L128" s="23"/>
      <c r="M128" s="23"/>
      <c r="N128" s="866"/>
      <c r="O128" s="866"/>
      <c r="P128" s="866"/>
      <c r="Q128" s="866"/>
      <c r="R128" s="866"/>
      <c r="S128" s="866"/>
      <c r="T128" s="866"/>
      <c r="U128" s="866"/>
      <c r="V128" s="866"/>
      <c r="W128" s="866"/>
      <c r="Y128" s="866"/>
      <c r="Z128" s="868"/>
      <c r="AA128" s="868"/>
      <c r="AB128" s="866"/>
      <c r="AC128" s="866"/>
      <c r="AD128" s="868"/>
      <c r="AE128" s="868"/>
    </row>
    <row r="129" spans="1:52" ht="15" thickTop="1" thickBot="1" x14ac:dyDescent="0.3">
      <c r="A129" s="319" t="s">
        <v>448</v>
      </c>
      <c r="B129" s="320"/>
      <c r="C129" s="320"/>
      <c r="D129" s="320"/>
      <c r="E129" s="320"/>
      <c r="F129" s="320"/>
      <c r="G129" s="320"/>
      <c r="H129" s="320"/>
      <c r="I129" s="320"/>
      <c r="J129" s="320"/>
      <c r="K129" s="457"/>
      <c r="L129" s="194"/>
      <c r="M129" s="194"/>
      <c r="N129" s="866"/>
      <c r="O129" s="866"/>
      <c r="P129" s="866"/>
      <c r="Q129" s="866"/>
      <c r="R129" s="866"/>
      <c r="S129" s="866"/>
      <c r="T129" s="866"/>
      <c r="U129" s="866"/>
      <c r="V129" s="866"/>
      <c r="W129" s="866"/>
      <c r="Y129" s="866"/>
      <c r="Z129" s="868"/>
      <c r="AA129" s="868"/>
      <c r="AB129" s="866"/>
      <c r="AC129" s="866"/>
      <c r="AD129" s="868"/>
      <c r="AE129" s="868"/>
    </row>
    <row r="130" spans="1:52" ht="14.4" thickTop="1" x14ac:dyDescent="0.25">
      <c r="A130" s="319" t="s">
        <v>449</v>
      </c>
      <c r="B130" s="320"/>
      <c r="C130" s="320"/>
      <c r="D130" s="320"/>
      <c r="E130" s="320"/>
      <c r="F130" s="320"/>
      <c r="G130" s="320"/>
      <c r="H130" s="320"/>
      <c r="I130" s="320"/>
      <c r="J130" s="320"/>
      <c r="K130" s="320"/>
      <c r="L130" s="194"/>
      <c r="M130" s="194"/>
      <c r="N130" s="866"/>
      <c r="O130" s="866"/>
      <c r="P130" s="866"/>
      <c r="Q130" s="866"/>
      <c r="R130" s="866"/>
      <c r="S130" s="866"/>
      <c r="T130" s="866"/>
      <c r="U130" s="866"/>
      <c r="V130" s="866"/>
      <c r="W130" s="866"/>
      <c r="Y130" s="866"/>
      <c r="Z130" s="868"/>
      <c r="AA130" s="868"/>
      <c r="AB130" s="866"/>
      <c r="AC130" s="866"/>
      <c r="AD130" s="868"/>
      <c r="AE130" s="868"/>
    </row>
    <row r="131" spans="1:52" x14ac:dyDescent="0.25">
      <c r="A131" s="453"/>
      <c r="B131" s="453"/>
      <c r="C131" s="328"/>
      <c r="D131" s="328"/>
      <c r="E131" s="328"/>
      <c r="F131" s="328"/>
      <c r="G131" s="328"/>
      <c r="H131" s="328"/>
      <c r="I131" s="328"/>
      <c r="J131" s="328"/>
      <c r="K131" s="443"/>
      <c r="L131" s="90"/>
      <c r="M131" s="90"/>
      <c r="N131" s="866"/>
      <c r="O131" s="866"/>
      <c r="P131" s="866"/>
      <c r="Q131" s="866"/>
      <c r="R131" s="866"/>
      <c r="S131" s="866"/>
      <c r="T131" s="866"/>
      <c r="U131" s="866"/>
      <c r="V131" s="866"/>
      <c r="W131" s="866"/>
      <c r="X131" s="867"/>
      <c r="Y131" s="866"/>
      <c r="Z131" s="868"/>
      <c r="AA131" s="868"/>
      <c r="AB131" s="866"/>
      <c r="AC131" s="866"/>
      <c r="AD131" s="868"/>
      <c r="AE131" s="868"/>
      <c r="AP131" s="867"/>
      <c r="AQ131" s="867"/>
      <c r="AR131" s="867"/>
      <c r="AS131" s="867"/>
      <c r="AT131" s="867"/>
      <c r="AU131" s="867"/>
      <c r="AV131" s="867"/>
      <c r="AW131" s="867"/>
      <c r="AX131" s="867"/>
      <c r="AY131" s="867"/>
      <c r="AZ131" s="867"/>
    </row>
    <row r="132" spans="1:52" ht="26.1" customHeight="1" thickBot="1" x14ac:dyDescent="0.4">
      <c r="A132" s="831" t="s">
        <v>429</v>
      </c>
      <c r="B132" s="627"/>
      <c r="C132" s="627"/>
      <c r="D132" s="627"/>
      <c r="E132" s="627"/>
      <c r="F132" s="627"/>
      <c r="G132" s="627"/>
      <c r="H132" s="627"/>
      <c r="I132" s="629"/>
      <c r="J132" s="629"/>
      <c r="K132" s="629"/>
      <c r="L132" s="189"/>
      <c r="M132" s="189"/>
      <c r="N132" s="866"/>
      <c r="O132" s="866"/>
      <c r="P132" s="866"/>
      <c r="Q132" s="866"/>
      <c r="R132" s="866"/>
      <c r="S132" s="866"/>
      <c r="T132" s="866"/>
      <c r="U132" s="866"/>
      <c r="V132" s="866"/>
      <c r="W132" s="866"/>
      <c r="X132" s="867"/>
      <c r="Y132" s="866"/>
      <c r="Z132" s="868"/>
      <c r="AA132" s="868"/>
      <c r="AB132" s="866"/>
      <c r="AC132" s="866"/>
      <c r="AD132" s="868"/>
      <c r="AE132" s="868"/>
      <c r="AP132" s="867"/>
      <c r="AQ132" s="867"/>
      <c r="AR132" s="867"/>
      <c r="AS132" s="867"/>
      <c r="AT132" s="867"/>
      <c r="AU132" s="867"/>
      <c r="AV132" s="867"/>
      <c r="AW132" s="867"/>
      <c r="AX132" s="867"/>
      <c r="AY132" s="867"/>
      <c r="AZ132" s="867"/>
    </row>
    <row r="133" spans="1:52" ht="15.6" thickTop="1" thickBot="1" x14ac:dyDescent="0.35">
      <c r="A133" s="319" t="s">
        <v>425</v>
      </c>
      <c r="B133" s="319"/>
      <c r="C133" s="321" t="s">
        <v>60</v>
      </c>
      <c r="D133" s="320"/>
      <c r="E133" s="320"/>
      <c r="F133" s="320"/>
      <c r="G133" s="320"/>
      <c r="H133" s="458"/>
      <c r="I133" s="320"/>
      <c r="J133" s="320"/>
      <c r="K133" s="311" t="s">
        <v>266</v>
      </c>
      <c r="L133" s="90"/>
      <c r="M133" s="90"/>
      <c r="N133" s="866"/>
      <c r="O133" s="866"/>
      <c r="P133" s="866"/>
      <c r="Q133" s="866"/>
      <c r="R133" s="866"/>
      <c r="S133" s="866"/>
      <c r="T133" s="866"/>
      <c r="U133" s="866"/>
      <c r="V133" s="866"/>
      <c r="W133" s="866"/>
      <c r="Y133" s="866"/>
      <c r="Z133" s="868"/>
      <c r="AA133" s="868"/>
      <c r="AB133" s="866"/>
      <c r="AC133" s="866"/>
      <c r="AD133" s="868"/>
      <c r="AE133" s="868"/>
    </row>
    <row r="134" spans="1:52" ht="14.4" thickTop="1" x14ac:dyDescent="0.25">
      <c r="A134" s="319" t="s">
        <v>127</v>
      </c>
      <c r="B134" s="319"/>
      <c r="C134" s="320"/>
      <c r="D134" s="320"/>
      <c r="E134" s="320"/>
      <c r="F134" s="320"/>
      <c r="G134" s="320"/>
      <c r="H134" s="320"/>
      <c r="I134" s="438"/>
      <c r="J134" s="320"/>
      <c r="K134" s="438"/>
      <c r="L134" s="90"/>
      <c r="M134" s="90"/>
      <c r="N134" s="866"/>
      <c r="O134" s="866"/>
      <c r="P134" s="866"/>
      <c r="Q134" s="866"/>
      <c r="R134" s="866"/>
      <c r="S134" s="866"/>
      <c r="T134" s="866"/>
      <c r="U134" s="866"/>
      <c r="V134" s="866"/>
      <c r="W134" s="866"/>
      <c r="Y134" s="866"/>
      <c r="Z134" s="866"/>
      <c r="AA134" s="866"/>
      <c r="AB134" s="866"/>
      <c r="AC134" s="866"/>
      <c r="AD134" s="866"/>
      <c r="AE134" s="866"/>
    </row>
    <row r="135" spans="1:52" x14ac:dyDescent="0.25">
      <c r="A135" s="319" t="s">
        <v>337</v>
      </c>
      <c r="B135" s="319"/>
      <c r="C135" s="320"/>
      <c r="D135" s="320"/>
      <c r="E135" s="320"/>
      <c r="F135" s="320"/>
      <c r="G135" s="320"/>
      <c r="H135" s="320"/>
      <c r="I135" s="438"/>
      <c r="J135" s="320"/>
      <c r="K135" s="438"/>
      <c r="L135" s="90"/>
      <c r="M135" s="90"/>
      <c r="N135" s="866"/>
      <c r="O135" s="866"/>
      <c r="P135" s="866"/>
      <c r="Q135" s="866"/>
      <c r="R135" s="866"/>
      <c r="S135" s="866"/>
      <c r="T135" s="866"/>
      <c r="U135" s="866"/>
      <c r="V135" s="866"/>
      <c r="W135" s="866"/>
      <c r="Y135" s="866"/>
      <c r="Z135" s="866"/>
      <c r="AA135" s="866"/>
      <c r="AB135" s="866"/>
      <c r="AC135" s="866"/>
      <c r="AD135" s="866"/>
      <c r="AE135" s="866"/>
    </row>
    <row r="136" spans="1:52" x14ac:dyDescent="0.25">
      <c r="A136" s="319" t="s">
        <v>338</v>
      </c>
      <c r="B136" s="319"/>
      <c r="C136" s="320"/>
      <c r="D136" s="320"/>
      <c r="E136" s="320"/>
      <c r="F136" s="320"/>
      <c r="G136" s="320"/>
      <c r="H136" s="320"/>
      <c r="I136" s="438"/>
      <c r="J136" s="320"/>
      <c r="K136" s="438"/>
      <c r="L136" s="90"/>
      <c r="M136" s="90"/>
      <c r="N136" s="866"/>
      <c r="O136" s="866"/>
      <c r="P136" s="866"/>
      <c r="Q136" s="866"/>
      <c r="R136" s="866"/>
      <c r="S136" s="866"/>
      <c r="T136" s="866"/>
      <c r="U136" s="866"/>
      <c r="V136" s="866"/>
      <c r="W136" s="866"/>
      <c r="Y136" s="866"/>
      <c r="Z136" s="866"/>
      <c r="AA136" s="866"/>
      <c r="AB136" s="866"/>
      <c r="AC136" s="866"/>
      <c r="AD136" s="866"/>
      <c r="AE136" s="866"/>
    </row>
    <row r="137" spans="1:52" ht="14.4" thickBot="1" x14ac:dyDescent="0.3">
      <c r="A137" s="453"/>
      <c r="B137" s="453"/>
      <c r="C137" s="328"/>
      <c r="D137" s="328"/>
      <c r="E137" s="328"/>
      <c r="F137" s="328"/>
      <c r="G137" s="328"/>
      <c r="H137" s="328"/>
      <c r="I137" s="328"/>
      <c r="J137" s="328"/>
      <c r="K137" s="443"/>
      <c r="L137" s="90"/>
      <c r="M137" s="90"/>
      <c r="N137" s="866"/>
      <c r="O137" s="866"/>
      <c r="P137" s="866"/>
      <c r="Q137" s="866"/>
      <c r="R137" s="866"/>
      <c r="S137" s="866"/>
      <c r="T137" s="866"/>
      <c r="U137" s="866"/>
      <c r="V137" s="866"/>
      <c r="W137" s="866"/>
      <c r="Y137" s="866"/>
      <c r="Z137" s="868"/>
      <c r="AA137" s="868"/>
      <c r="AB137" s="866"/>
      <c r="AC137" s="866"/>
      <c r="AD137" s="868"/>
      <c r="AE137" s="868"/>
    </row>
    <row r="138" spans="1:52" ht="15.6" thickTop="1" thickBot="1" x14ac:dyDescent="0.35">
      <c r="A138" s="319" t="s">
        <v>426</v>
      </c>
      <c r="B138" s="319"/>
      <c r="C138" s="320"/>
      <c r="D138" s="320"/>
      <c r="E138" s="321">
        <v>0</v>
      </c>
      <c r="F138" s="458"/>
      <c r="G138" s="458"/>
      <c r="H138" s="458"/>
      <c r="I138" s="320"/>
      <c r="J138" s="320"/>
      <c r="K138" s="311" t="s">
        <v>266</v>
      </c>
      <c r="L138" s="90"/>
      <c r="M138" s="90"/>
      <c r="N138" s="866"/>
      <c r="O138" s="866"/>
      <c r="P138" s="866"/>
      <c r="Q138" s="866"/>
      <c r="R138" s="866"/>
      <c r="S138" s="866"/>
      <c r="T138" s="866"/>
      <c r="U138" s="866"/>
      <c r="V138" s="866"/>
      <c r="W138" s="866"/>
      <c r="Y138" s="866"/>
      <c r="Z138" s="868"/>
      <c r="AA138" s="868"/>
      <c r="AB138" s="866"/>
      <c r="AC138" s="866"/>
      <c r="AD138" s="868"/>
      <c r="AE138" s="868"/>
    </row>
    <row r="139" spans="1:52" ht="14.4" hidden="1" thickTop="1" x14ac:dyDescent="0.25">
      <c r="A139" s="539"/>
      <c r="B139" s="539"/>
      <c r="C139" s="539"/>
      <c r="D139" s="539"/>
      <c r="E139" s="561"/>
      <c r="F139" s="561"/>
      <c r="G139" s="561"/>
      <c r="H139" s="561"/>
      <c r="I139" s="561"/>
      <c r="J139" s="674" t="s">
        <v>70</v>
      </c>
      <c r="K139" s="675" t="s">
        <v>62</v>
      </c>
      <c r="L139" s="195"/>
      <c r="M139" s="195"/>
      <c r="N139" s="866"/>
      <c r="O139" s="866"/>
      <c r="P139" s="866"/>
      <c r="Q139" s="866"/>
      <c r="R139" s="866"/>
      <c r="S139" s="866"/>
      <c r="T139" s="866"/>
      <c r="U139" s="866"/>
      <c r="V139" s="866"/>
      <c r="W139" s="866"/>
      <c r="Y139" s="866"/>
      <c r="Z139" s="868"/>
      <c r="AA139" s="868"/>
      <c r="AB139" s="866"/>
      <c r="AC139" s="866"/>
      <c r="AD139" s="868"/>
      <c r="AE139" s="868"/>
    </row>
    <row r="140" spans="1:52" ht="14.4" hidden="1" thickTop="1" x14ac:dyDescent="0.25">
      <c r="A140" s="539"/>
      <c r="B140" s="539"/>
      <c r="C140" s="539"/>
      <c r="D140" s="539"/>
      <c r="E140" s="561"/>
      <c r="F140" s="561"/>
      <c r="G140" s="561"/>
      <c r="H140" s="561"/>
      <c r="I140" s="561"/>
      <c r="J140" s="676">
        <v>0</v>
      </c>
      <c r="K140" s="677">
        <f>IF($E$138=0, 0,0)</f>
        <v>0</v>
      </c>
      <c r="L140" s="196"/>
      <c r="M140" s="196"/>
      <c r="N140" s="866"/>
      <c r="O140" s="866"/>
      <c r="P140" s="866"/>
      <c r="Q140" s="866"/>
      <c r="R140" s="866"/>
      <c r="S140" s="866"/>
      <c r="T140" s="866"/>
      <c r="U140" s="866"/>
      <c r="V140" s="866"/>
      <c r="W140" s="866"/>
      <c r="Y140" s="866"/>
      <c r="Z140" s="868"/>
      <c r="AA140" s="868"/>
      <c r="AB140" s="866"/>
      <c r="AC140" s="866"/>
      <c r="AD140" s="868"/>
      <c r="AE140" s="868"/>
    </row>
    <row r="141" spans="1:52" ht="14.4" hidden="1" thickTop="1" x14ac:dyDescent="0.25">
      <c r="A141" s="539"/>
      <c r="B141" s="539"/>
      <c r="C141" s="539"/>
      <c r="D141" s="539"/>
      <c r="E141" s="561"/>
      <c r="F141" s="561"/>
      <c r="G141" s="561"/>
      <c r="H141" s="561"/>
      <c r="I141" s="561"/>
      <c r="J141" s="676">
        <v>1</v>
      </c>
      <c r="K141" s="677">
        <f>IF($E$138=1, 25000,0)</f>
        <v>0</v>
      </c>
      <c r="L141" s="196"/>
      <c r="M141" s="196"/>
      <c r="N141" s="866"/>
      <c r="O141" s="866"/>
      <c r="P141" s="866"/>
      <c r="Q141" s="866"/>
      <c r="R141" s="866"/>
      <c r="S141" s="866"/>
      <c r="T141" s="866"/>
      <c r="U141" s="866"/>
      <c r="V141" s="866"/>
      <c r="W141" s="866"/>
      <c r="Y141" s="866"/>
      <c r="Z141" s="868"/>
      <c r="AA141" s="868"/>
      <c r="AB141" s="866"/>
      <c r="AC141" s="866"/>
      <c r="AD141" s="868"/>
      <c r="AE141" s="868"/>
    </row>
    <row r="142" spans="1:52" ht="14.4" hidden="1" thickTop="1" x14ac:dyDescent="0.25">
      <c r="A142" s="539"/>
      <c r="B142" s="539"/>
      <c r="C142" s="539"/>
      <c r="D142" s="539"/>
      <c r="E142" s="561"/>
      <c r="F142" s="561"/>
      <c r="G142" s="561"/>
      <c r="H142" s="561"/>
      <c r="I142" s="561"/>
      <c r="J142" s="676">
        <v>2</v>
      </c>
      <c r="K142" s="677">
        <f>IF($E$138=2, 50000,0)</f>
        <v>0</v>
      </c>
      <c r="L142" s="196"/>
      <c r="M142" s="196"/>
      <c r="N142" s="866"/>
      <c r="O142" s="866"/>
      <c r="P142" s="866"/>
      <c r="Q142" s="866"/>
      <c r="R142" s="866"/>
      <c r="S142" s="866"/>
      <c r="T142" s="866"/>
      <c r="U142" s="866"/>
      <c r="V142" s="866"/>
      <c r="W142" s="866"/>
      <c r="Y142" s="866"/>
      <c r="Z142" s="868"/>
      <c r="AA142" s="868"/>
      <c r="AB142" s="866"/>
      <c r="AC142" s="866"/>
      <c r="AD142" s="868"/>
      <c r="AE142" s="868"/>
    </row>
    <row r="143" spans="1:52" ht="14.4" hidden="1" thickTop="1" x14ac:dyDescent="0.25">
      <c r="A143" s="539"/>
      <c r="B143" s="539"/>
      <c r="C143" s="539"/>
      <c r="D143" s="539"/>
      <c r="E143" s="561"/>
      <c r="F143" s="561"/>
      <c r="G143" s="561"/>
      <c r="H143" s="561"/>
      <c r="I143" s="561"/>
      <c r="J143" s="676">
        <v>3</v>
      </c>
      <c r="K143" s="677">
        <f>IF($E$138=3, 75000,0)</f>
        <v>0</v>
      </c>
      <c r="L143" s="196"/>
      <c r="M143" s="196"/>
      <c r="N143" s="866"/>
      <c r="O143" s="866"/>
      <c r="P143" s="866"/>
      <c r="Q143" s="866"/>
      <c r="R143" s="866"/>
      <c r="S143" s="866"/>
      <c r="T143" s="866"/>
      <c r="U143" s="866"/>
      <c r="V143" s="866"/>
      <c r="W143" s="866"/>
      <c r="Y143" s="866"/>
      <c r="Z143" s="868"/>
      <c r="AA143" s="868"/>
      <c r="AB143" s="866"/>
      <c r="AC143" s="866"/>
      <c r="AD143" s="868"/>
      <c r="AE143" s="868"/>
    </row>
    <row r="144" spans="1:52" ht="13.5" hidden="1" customHeight="1" x14ac:dyDescent="0.25">
      <c r="A144" s="539"/>
      <c r="B144" s="539"/>
      <c r="C144" s="539"/>
      <c r="D144" s="539"/>
      <c r="E144" s="561"/>
      <c r="F144" s="561"/>
      <c r="G144" s="561"/>
      <c r="H144" s="561"/>
      <c r="I144" s="561"/>
      <c r="J144" s="676">
        <v>4</v>
      </c>
      <c r="K144" s="677">
        <f>IF($E$138=4, 100000,0)</f>
        <v>0</v>
      </c>
      <c r="L144" s="196"/>
      <c r="M144" s="196"/>
      <c r="N144" s="866"/>
      <c r="O144" s="866"/>
      <c r="P144" s="866"/>
      <c r="Q144" s="866"/>
      <c r="R144" s="866"/>
      <c r="S144" s="866"/>
      <c r="T144" s="866"/>
      <c r="U144" s="866"/>
      <c r="V144" s="866"/>
      <c r="W144" s="866"/>
      <c r="Y144" s="866"/>
      <c r="Z144" s="868"/>
      <c r="AA144" s="868"/>
      <c r="AB144" s="866"/>
      <c r="AC144" s="866"/>
      <c r="AD144" s="868"/>
      <c r="AE144" s="868"/>
    </row>
    <row r="145" spans="1:31" ht="13.5" hidden="1" customHeight="1" x14ac:dyDescent="0.25">
      <c r="A145" s="539"/>
      <c r="B145" s="539"/>
      <c r="C145" s="539"/>
      <c r="D145" s="539"/>
      <c r="E145" s="561"/>
      <c r="F145" s="561"/>
      <c r="G145" s="561"/>
      <c r="H145" s="561"/>
      <c r="I145" s="561"/>
      <c r="J145" s="676">
        <v>5</v>
      </c>
      <c r="K145" s="677">
        <f>IF($E$138=5, 125000,0)</f>
        <v>0</v>
      </c>
      <c r="L145" s="196"/>
      <c r="M145" s="196"/>
      <c r="N145" s="866"/>
      <c r="O145" s="866"/>
      <c r="P145" s="866"/>
      <c r="Q145" s="866"/>
      <c r="R145" s="866"/>
      <c r="S145" s="866"/>
      <c r="T145" s="866"/>
      <c r="U145" s="866"/>
      <c r="V145" s="866"/>
      <c r="W145" s="866"/>
      <c r="Y145" s="866"/>
      <c r="Z145" s="868"/>
      <c r="AA145" s="868"/>
      <c r="AB145" s="866"/>
      <c r="AC145" s="866"/>
      <c r="AD145" s="868"/>
      <c r="AE145" s="868"/>
    </row>
    <row r="146" spans="1:31" ht="14.4" hidden="1" thickTop="1" x14ac:dyDescent="0.25">
      <c r="A146" s="539"/>
      <c r="B146" s="539"/>
      <c r="C146" s="539"/>
      <c r="D146" s="539"/>
      <c r="E146" s="561"/>
      <c r="F146" s="561"/>
      <c r="G146" s="561"/>
      <c r="H146" s="561"/>
      <c r="I146" s="561"/>
      <c r="J146" s="676">
        <v>6</v>
      </c>
      <c r="K146" s="677">
        <f>IF($E$138=6, 150000,0)</f>
        <v>0</v>
      </c>
      <c r="L146" s="196"/>
      <c r="M146" s="196"/>
      <c r="N146" s="866"/>
      <c r="O146" s="866"/>
      <c r="P146" s="866"/>
      <c r="Q146" s="866"/>
      <c r="R146" s="866"/>
      <c r="S146" s="866"/>
      <c r="T146" s="866"/>
      <c r="U146" s="866"/>
      <c r="V146" s="866"/>
      <c r="W146" s="866"/>
      <c r="Y146" s="866"/>
      <c r="Z146" s="868"/>
      <c r="AA146" s="868"/>
      <c r="AB146" s="866"/>
      <c r="AC146" s="866"/>
      <c r="AD146" s="868"/>
      <c r="AE146" s="868"/>
    </row>
    <row r="147" spans="1:31" ht="14.4" hidden="1" thickTop="1" x14ac:dyDescent="0.25">
      <c r="A147" s="539"/>
      <c r="B147" s="539"/>
      <c r="C147" s="539"/>
      <c r="D147" s="539"/>
      <c r="E147" s="561"/>
      <c r="F147" s="561"/>
      <c r="G147" s="561"/>
      <c r="H147" s="561"/>
      <c r="I147" s="561"/>
      <c r="J147" s="676">
        <v>7</v>
      </c>
      <c r="K147" s="677">
        <f>IF($E$138=7, 175000,0)</f>
        <v>0</v>
      </c>
      <c r="L147" s="196"/>
      <c r="M147" s="196"/>
      <c r="N147" s="866"/>
      <c r="O147" s="866"/>
      <c r="P147" s="866"/>
      <c r="Q147" s="866"/>
      <c r="R147" s="866"/>
      <c r="S147" s="866"/>
      <c r="T147" s="866"/>
      <c r="U147" s="866"/>
      <c r="V147" s="866"/>
      <c r="W147" s="866"/>
      <c r="Y147" s="866"/>
      <c r="Z147" s="868"/>
      <c r="AA147" s="868"/>
      <c r="AB147" s="866"/>
      <c r="AC147" s="866"/>
      <c r="AD147" s="868"/>
      <c r="AE147" s="868"/>
    </row>
    <row r="148" spans="1:31" ht="14.4" hidden="1" thickTop="1" x14ac:dyDescent="0.25">
      <c r="A148" s="539"/>
      <c r="B148" s="539"/>
      <c r="C148" s="539"/>
      <c r="D148" s="539"/>
      <c r="E148" s="561"/>
      <c r="F148" s="561"/>
      <c r="G148" s="561"/>
      <c r="H148" s="561"/>
      <c r="I148" s="561"/>
      <c r="J148" s="676">
        <v>8</v>
      </c>
      <c r="K148" s="677">
        <f>IF($E$138=8, 200000,0)</f>
        <v>0</v>
      </c>
      <c r="L148" s="196"/>
      <c r="M148" s="196"/>
      <c r="N148" s="866"/>
      <c r="O148" s="866"/>
      <c r="P148" s="866"/>
      <c r="Q148" s="866"/>
      <c r="R148" s="866"/>
      <c r="S148" s="866"/>
      <c r="T148" s="866"/>
      <c r="U148" s="866"/>
      <c r="V148" s="866"/>
      <c r="W148" s="866"/>
      <c r="Y148" s="866"/>
      <c r="Z148" s="868"/>
      <c r="AA148" s="868"/>
      <c r="AB148" s="866"/>
      <c r="AC148" s="866"/>
      <c r="AD148" s="868"/>
      <c r="AE148" s="868"/>
    </row>
    <row r="149" spans="1:31" ht="14.4" hidden="1" thickTop="1" x14ac:dyDescent="0.25">
      <c r="A149" s="539"/>
      <c r="B149" s="539"/>
      <c r="C149" s="539"/>
      <c r="D149" s="539"/>
      <c r="E149" s="561"/>
      <c r="F149" s="561"/>
      <c r="G149" s="561"/>
      <c r="H149" s="561"/>
      <c r="I149" s="561"/>
      <c r="J149" s="676">
        <v>9</v>
      </c>
      <c r="K149" s="677">
        <f>IF($E$138=9, 225000,0)</f>
        <v>0</v>
      </c>
      <c r="L149" s="196"/>
      <c r="M149" s="196"/>
      <c r="N149" s="866"/>
      <c r="O149" s="866"/>
      <c r="P149" s="866"/>
      <c r="Q149" s="866"/>
      <c r="R149" s="866"/>
      <c r="S149" s="866"/>
      <c r="T149" s="866"/>
      <c r="U149" s="866"/>
      <c r="V149" s="866"/>
      <c r="W149" s="866"/>
      <c r="Y149" s="866"/>
      <c r="Z149" s="868"/>
      <c r="AA149" s="868"/>
      <c r="AB149" s="866"/>
      <c r="AC149" s="866"/>
      <c r="AD149" s="868"/>
      <c r="AE149" s="868"/>
    </row>
    <row r="150" spans="1:31" ht="14.4" hidden="1" thickTop="1" x14ac:dyDescent="0.25">
      <c r="A150" s="539"/>
      <c r="B150" s="539"/>
      <c r="C150" s="539"/>
      <c r="D150" s="539"/>
      <c r="E150" s="561"/>
      <c r="F150" s="561"/>
      <c r="G150" s="561"/>
      <c r="H150" s="561"/>
      <c r="I150" s="561"/>
      <c r="J150" s="676">
        <v>10</v>
      </c>
      <c r="K150" s="677">
        <f>IF($E$138=10, 250000,0)</f>
        <v>0</v>
      </c>
      <c r="L150" s="196"/>
      <c r="M150" s="196"/>
      <c r="N150" s="866"/>
      <c r="O150" s="866"/>
      <c r="P150" s="866"/>
      <c r="Q150" s="866"/>
      <c r="R150" s="866"/>
      <c r="S150" s="866"/>
      <c r="T150" s="866"/>
      <c r="U150" s="866"/>
      <c r="V150" s="866"/>
      <c r="W150" s="866"/>
      <c r="Y150" s="866"/>
      <c r="Z150" s="868"/>
      <c r="AA150" s="868"/>
      <c r="AB150" s="866"/>
      <c r="AC150" s="866"/>
      <c r="AD150" s="868"/>
      <c r="AE150" s="868"/>
    </row>
    <row r="151" spans="1:31" ht="14.4" hidden="1" thickTop="1" x14ac:dyDescent="0.25">
      <c r="A151" s="539"/>
      <c r="B151" s="539"/>
      <c r="C151" s="539"/>
      <c r="D151" s="539"/>
      <c r="E151" s="561"/>
      <c r="F151" s="561"/>
      <c r="G151" s="561"/>
      <c r="H151" s="561"/>
      <c r="I151" s="561"/>
      <c r="J151" s="676">
        <v>11</v>
      </c>
      <c r="K151" s="677">
        <f>IF($E$138=11, 275000,0)</f>
        <v>0</v>
      </c>
      <c r="L151" s="196"/>
      <c r="M151" s="196"/>
      <c r="N151" s="866"/>
      <c r="O151" s="866"/>
      <c r="P151" s="866"/>
      <c r="Q151" s="866"/>
      <c r="R151" s="866"/>
      <c r="S151" s="866"/>
      <c r="T151" s="866"/>
      <c r="U151" s="866"/>
      <c r="V151" s="866"/>
      <c r="W151" s="866"/>
      <c r="Y151" s="866"/>
      <c r="Z151" s="868"/>
      <c r="AA151" s="868"/>
      <c r="AB151" s="866"/>
      <c r="AC151" s="866"/>
      <c r="AD151" s="868"/>
      <c r="AE151" s="868"/>
    </row>
    <row r="152" spans="1:31" ht="14.4" hidden="1" thickTop="1" x14ac:dyDescent="0.25">
      <c r="A152" s="539"/>
      <c r="B152" s="539"/>
      <c r="C152" s="539"/>
      <c r="D152" s="539"/>
      <c r="E152" s="561"/>
      <c r="F152" s="561"/>
      <c r="G152" s="561"/>
      <c r="H152" s="561"/>
      <c r="I152" s="561"/>
      <c r="J152" s="676">
        <v>12</v>
      </c>
      <c r="K152" s="677">
        <f>IF($E$138=12, 300000,0)</f>
        <v>0</v>
      </c>
      <c r="L152" s="196"/>
      <c r="M152" s="196"/>
      <c r="N152" s="866"/>
      <c r="O152" s="866"/>
      <c r="P152" s="866"/>
      <c r="Q152" s="866"/>
      <c r="R152" s="866"/>
      <c r="S152" s="866"/>
      <c r="T152" s="866"/>
      <c r="U152" s="866"/>
      <c r="V152" s="866"/>
      <c r="W152" s="866"/>
      <c r="Y152" s="866"/>
      <c r="Z152" s="868"/>
      <c r="AA152" s="868"/>
      <c r="AB152" s="866"/>
      <c r="AC152" s="866"/>
      <c r="AD152" s="868"/>
      <c r="AE152" s="868"/>
    </row>
    <row r="153" spans="1:31" ht="14.4" hidden="1" thickTop="1" x14ac:dyDescent="0.25">
      <c r="A153" s="539"/>
      <c r="B153" s="539"/>
      <c r="C153" s="539"/>
      <c r="D153" s="539"/>
      <c r="E153" s="561"/>
      <c r="F153" s="561"/>
      <c r="G153" s="561"/>
      <c r="H153" s="561"/>
      <c r="I153" s="561"/>
      <c r="J153" s="676">
        <v>13</v>
      </c>
      <c r="K153" s="677">
        <f>IF($E$138=13, 325000,0)</f>
        <v>0</v>
      </c>
      <c r="L153" s="196"/>
      <c r="M153" s="196"/>
      <c r="N153" s="866"/>
      <c r="O153" s="866"/>
      <c r="P153" s="866"/>
      <c r="Q153" s="866"/>
      <c r="R153" s="866"/>
      <c r="S153" s="866"/>
      <c r="T153" s="866"/>
      <c r="U153" s="866"/>
      <c r="V153" s="866"/>
      <c r="W153" s="866"/>
      <c r="Y153" s="866"/>
      <c r="Z153" s="868"/>
      <c r="AA153" s="868"/>
      <c r="AB153" s="866"/>
      <c r="AC153" s="866"/>
      <c r="AD153" s="868"/>
      <c r="AE153" s="868"/>
    </row>
    <row r="154" spans="1:31" ht="14.4" hidden="1" thickTop="1" x14ac:dyDescent="0.25">
      <c r="A154" s="539"/>
      <c r="B154" s="539"/>
      <c r="C154" s="539"/>
      <c r="D154" s="539"/>
      <c r="E154" s="561"/>
      <c r="F154" s="561"/>
      <c r="G154" s="561"/>
      <c r="H154" s="561"/>
      <c r="I154" s="561"/>
      <c r="J154" s="676">
        <v>14</v>
      </c>
      <c r="K154" s="677">
        <f>IF($E$138=14, 350000,0)</f>
        <v>0</v>
      </c>
      <c r="L154" s="196"/>
      <c r="M154" s="196"/>
      <c r="N154" s="866"/>
      <c r="O154" s="866"/>
      <c r="P154" s="866"/>
      <c r="Q154" s="866"/>
      <c r="R154" s="866"/>
      <c r="S154" s="866"/>
      <c r="T154" s="866"/>
      <c r="U154" s="866"/>
      <c r="V154" s="866"/>
      <c r="W154" s="866"/>
      <c r="Y154" s="866"/>
      <c r="Z154" s="868"/>
      <c r="AA154" s="868"/>
      <c r="AB154" s="866"/>
      <c r="AC154" s="866"/>
      <c r="AD154" s="868"/>
      <c r="AE154" s="868"/>
    </row>
    <row r="155" spans="1:31" ht="14.4" hidden="1" thickTop="1" x14ac:dyDescent="0.25">
      <c r="A155" s="539"/>
      <c r="B155" s="539"/>
      <c r="C155" s="539"/>
      <c r="D155" s="539"/>
      <c r="E155" s="561"/>
      <c r="F155" s="561"/>
      <c r="G155" s="561"/>
      <c r="H155" s="561"/>
      <c r="I155" s="561"/>
      <c r="J155" s="676">
        <v>15</v>
      </c>
      <c r="K155" s="677">
        <f>IF($E$138=15, 375000,0)</f>
        <v>0</v>
      </c>
      <c r="L155" s="196"/>
      <c r="M155" s="196"/>
      <c r="N155" s="866"/>
      <c r="O155" s="866"/>
      <c r="P155" s="866"/>
      <c r="Q155" s="866"/>
      <c r="R155" s="866"/>
      <c r="S155" s="866"/>
      <c r="T155" s="866"/>
      <c r="U155" s="866"/>
      <c r="V155" s="866"/>
      <c r="W155" s="866"/>
      <c r="Y155" s="866"/>
      <c r="Z155" s="868"/>
      <c r="AA155" s="868"/>
      <c r="AB155" s="866"/>
      <c r="AC155" s="866"/>
      <c r="AD155" s="868"/>
      <c r="AE155" s="868"/>
    </row>
    <row r="156" spans="1:31" ht="14.4" hidden="1" thickTop="1" x14ac:dyDescent="0.25">
      <c r="A156" s="539"/>
      <c r="B156" s="539"/>
      <c r="C156" s="539"/>
      <c r="D156" s="539"/>
      <c r="E156" s="561"/>
      <c r="F156" s="561"/>
      <c r="G156" s="561"/>
      <c r="H156" s="561"/>
      <c r="I156" s="561"/>
      <c r="J156" s="676">
        <v>16</v>
      </c>
      <c r="K156" s="677">
        <f>IF($E$138=16, 400000,0)</f>
        <v>0</v>
      </c>
      <c r="L156" s="196"/>
      <c r="M156" s="196"/>
      <c r="N156" s="866"/>
      <c r="O156" s="866"/>
      <c r="P156" s="866"/>
      <c r="Q156" s="866"/>
      <c r="R156" s="866"/>
      <c r="S156" s="866"/>
      <c r="T156" s="866"/>
      <c r="U156" s="866"/>
      <c r="V156" s="866"/>
      <c r="W156" s="866"/>
      <c r="Y156" s="866"/>
      <c r="Z156" s="868"/>
      <c r="AA156" s="868"/>
      <c r="AB156" s="866"/>
      <c r="AC156" s="866"/>
      <c r="AD156" s="868"/>
      <c r="AE156" s="868"/>
    </row>
    <row r="157" spans="1:31" ht="14.4" hidden="1" thickTop="1" x14ac:dyDescent="0.25">
      <c r="A157" s="539"/>
      <c r="B157" s="539"/>
      <c r="C157" s="539"/>
      <c r="D157" s="539"/>
      <c r="E157" s="561"/>
      <c r="F157" s="561"/>
      <c r="G157" s="561"/>
      <c r="H157" s="561"/>
      <c r="I157" s="561"/>
      <c r="J157" s="561">
        <v>17</v>
      </c>
      <c r="K157" s="677">
        <f>IF($E$138=17, 425000,0)</f>
        <v>0</v>
      </c>
      <c r="L157" s="196"/>
      <c r="M157" s="196"/>
      <c r="N157" s="866"/>
      <c r="O157" s="866"/>
      <c r="P157" s="866"/>
      <c r="Q157" s="866"/>
      <c r="R157" s="866"/>
      <c r="S157" s="866"/>
      <c r="T157" s="866"/>
      <c r="U157" s="866"/>
      <c r="V157" s="866"/>
      <c r="W157" s="866"/>
      <c r="Y157" s="866"/>
      <c r="Z157" s="868"/>
      <c r="AA157" s="868"/>
      <c r="AB157" s="866"/>
      <c r="AC157" s="866"/>
      <c r="AD157" s="868"/>
      <c r="AE157" s="868"/>
    </row>
    <row r="158" spans="1:31" ht="14.4" hidden="1" thickTop="1" x14ac:dyDescent="0.25">
      <c r="A158" s="539"/>
      <c r="B158" s="539"/>
      <c r="C158" s="539"/>
      <c r="D158" s="539"/>
      <c r="E158" s="561"/>
      <c r="F158" s="561"/>
      <c r="G158" s="561"/>
      <c r="H158" s="561"/>
      <c r="I158" s="561"/>
      <c r="J158" s="561">
        <v>18</v>
      </c>
      <c r="K158" s="677">
        <f>IF($E$138=18, 450000,0)</f>
        <v>0</v>
      </c>
      <c r="L158" s="196"/>
      <c r="M158" s="196"/>
      <c r="N158" s="866"/>
      <c r="O158" s="866"/>
      <c r="P158" s="866"/>
      <c r="Q158" s="866"/>
      <c r="R158" s="866"/>
      <c r="S158" s="866"/>
      <c r="T158" s="866"/>
      <c r="U158" s="866"/>
      <c r="V158" s="866"/>
      <c r="W158" s="866"/>
      <c r="Y158" s="866"/>
      <c r="Z158" s="868"/>
      <c r="AA158" s="868"/>
      <c r="AB158" s="866"/>
      <c r="AC158" s="866"/>
      <c r="AD158" s="868"/>
      <c r="AE158" s="868"/>
    </row>
    <row r="159" spans="1:31" ht="14.4" hidden="1" thickTop="1" x14ac:dyDescent="0.25">
      <c r="A159" s="539"/>
      <c r="B159" s="539"/>
      <c r="C159" s="539"/>
      <c r="D159" s="539"/>
      <c r="E159" s="561"/>
      <c r="F159" s="561"/>
      <c r="G159" s="561"/>
      <c r="H159" s="561"/>
      <c r="I159" s="561"/>
      <c r="J159" s="561">
        <v>19</v>
      </c>
      <c r="K159" s="677">
        <f>IF($E$138=19, 475000,0)</f>
        <v>0</v>
      </c>
      <c r="L159" s="196"/>
      <c r="M159" s="196"/>
      <c r="N159" s="866"/>
      <c r="O159" s="866"/>
      <c r="P159" s="866"/>
      <c r="Q159" s="866"/>
      <c r="R159" s="866"/>
      <c r="S159" s="866"/>
      <c r="T159" s="866"/>
      <c r="U159" s="866"/>
      <c r="V159" s="866"/>
      <c r="W159" s="866"/>
      <c r="Y159" s="866"/>
      <c r="Z159" s="868"/>
      <c r="AA159" s="868"/>
      <c r="AB159" s="866"/>
      <c r="AC159" s="866"/>
      <c r="AD159" s="868"/>
      <c r="AE159" s="868"/>
    </row>
    <row r="160" spans="1:31" ht="14.4" hidden="1" thickTop="1" x14ac:dyDescent="0.25">
      <c r="A160" s="539"/>
      <c r="B160" s="539"/>
      <c r="C160" s="539"/>
      <c r="D160" s="539"/>
      <c r="E160" s="561"/>
      <c r="F160" s="561"/>
      <c r="G160" s="561"/>
      <c r="H160" s="561"/>
      <c r="I160" s="561"/>
      <c r="J160" s="561">
        <v>20</v>
      </c>
      <c r="K160" s="677">
        <f>IF($E$138=20, 500000,0)</f>
        <v>0</v>
      </c>
      <c r="L160" s="196"/>
      <c r="M160" s="196"/>
      <c r="N160" s="866"/>
      <c r="O160" s="866"/>
      <c r="P160" s="866"/>
      <c r="Q160" s="866"/>
      <c r="R160" s="866"/>
      <c r="S160" s="866"/>
      <c r="T160" s="866"/>
      <c r="U160" s="866"/>
      <c r="V160" s="866"/>
      <c r="W160" s="866"/>
      <c r="Y160" s="866"/>
      <c r="Z160" s="868"/>
      <c r="AA160" s="868"/>
      <c r="AB160" s="866"/>
      <c r="AC160" s="866"/>
      <c r="AD160" s="868"/>
      <c r="AE160" s="868"/>
    </row>
    <row r="161" spans="1:31" ht="14.4" hidden="1" thickTop="1" x14ac:dyDescent="0.25">
      <c r="A161" s="539"/>
      <c r="B161" s="539"/>
      <c r="C161" s="539"/>
      <c r="D161" s="539"/>
      <c r="E161" s="561"/>
      <c r="F161" s="561"/>
      <c r="G161" s="561"/>
      <c r="H161" s="561"/>
      <c r="I161" s="561"/>
      <c r="J161" s="561">
        <v>21</v>
      </c>
      <c r="K161" s="677">
        <f>IF($E$138=21, 525000,0)</f>
        <v>0</v>
      </c>
      <c r="L161" s="196"/>
      <c r="M161" s="196"/>
      <c r="N161" s="866"/>
      <c r="O161" s="866"/>
      <c r="P161" s="866"/>
      <c r="Q161" s="866"/>
      <c r="R161" s="866"/>
      <c r="S161" s="866"/>
      <c r="T161" s="866"/>
      <c r="U161" s="866"/>
      <c r="V161" s="866"/>
      <c r="W161" s="866"/>
      <c r="Y161" s="866"/>
      <c r="Z161" s="868"/>
      <c r="AA161" s="868"/>
      <c r="AB161" s="866"/>
      <c r="AC161" s="866"/>
      <c r="AD161" s="868"/>
      <c r="AE161" s="868"/>
    </row>
    <row r="162" spans="1:31" ht="14.4" hidden="1" thickTop="1" x14ac:dyDescent="0.25">
      <c r="A162" s="539"/>
      <c r="B162" s="539"/>
      <c r="C162" s="539"/>
      <c r="D162" s="539"/>
      <c r="E162" s="561"/>
      <c r="F162" s="561"/>
      <c r="G162" s="561"/>
      <c r="H162" s="561"/>
      <c r="I162" s="561"/>
      <c r="J162" s="561">
        <v>22</v>
      </c>
      <c r="K162" s="677">
        <f>IF($E$138=22, 555000,0)</f>
        <v>0</v>
      </c>
      <c r="L162" s="196"/>
      <c r="M162" s="196"/>
      <c r="N162" s="866"/>
      <c r="O162" s="866"/>
      <c r="P162" s="866"/>
      <c r="Q162" s="866"/>
      <c r="R162" s="866"/>
      <c r="S162" s="866"/>
      <c r="T162" s="866"/>
      <c r="U162" s="866"/>
      <c r="V162" s="866"/>
      <c r="W162" s="866"/>
      <c r="Y162" s="866"/>
      <c r="Z162" s="868"/>
      <c r="AA162" s="868"/>
      <c r="AB162" s="866"/>
      <c r="AC162" s="866"/>
      <c r="AD162" s="868"/>
      <c r="AE162" s="868"/>
    </row>
    <row r="163" spans="1:31" ht="14.4" hidden="1" thickTop="1" x14ac:dyDescent="0.25">
      <c r="A163" s="539"/>
      <c r="B163" s="539"/>
      <c r="C163" s="539"/>
      <c r="D163" s="539"/>
      <c r="E163" s="561"/>
      <c r="F163" s="561"/>
      <c r="G163" s="561"/>
      <c r="H163" s="561"/>
      <c r="I163" s="561"/>
      <c r="J163" s="561">
        <v>23</v>
      </c>
      <c r="K163" s="677">
        <f>IF($E$138=23, 575000,0)</f>
        <v>0</v>
      </c>
      <c r="L163" s="196"/>
      <c r="M163" s="196"/>
      <c r="N163" s="866"/>
      <c r="O163" s="866"/>
      <c r="P163" s="866"/>
      <c r="Q163" s="866"/>
      <c r="R163" s="866"/>
      <c r="S163" s="866"/>
      <c r="T163" s="866"/>
      <c r="U163" s="866"/>
      <c r="V163" s="866"/>
      <c r="W163" s="866"/>
      <c r="Y163" s="866"/>
      <c r="Z163" s="868"/>
      <c r="AA163" s="868"/>
      <c r="AB163" s="866"/>
      <c r="AC163" s="866"/>
      <c r="AD163" s="868"/>
      <c r="AE163" s="868"/>
    </row>
    <row r="164" spans="1:31" ht="14.4" hidden="1" thickTop="1" x14ac:dyDescent="0.25">
      <c r="A164" s="539"/>
      <c r="B164" s="539"/>
      <c r="C164" s="539"/>
      <c r="D164" s="539"/>
      <c r="E164" s="561"/>
      <c r="F164" s="561"/>
      <c r="G164" s="561"/>
      <c r="H164" s="561"/>
      <c r="I164" s="561"/>
      <c r="J164" s="561">
        <v>24</v>
      </c>
      <c r="K164" s="677">
        <f>IF($E$138=24, 600000,0)</f>
        <v>0</v>
      </c>
      <c r="L164" s="196"/>
      <c r="M164" s="196"/>
      <c r="N164" s="866"/>
      <c r="O164" s="866"/>
      <c r="P164" s="866"/>
      <c r="Q164" s="866"/>
      <c r="R164" s="866"/>
      <c r="S164" s="866"/>
      <c r="T164" s="866"/>
      <c r="U164" s="866"/>
      <c r="V164" s="866"/>
      <c r="W164" s="866"/>
      <c r="Y164" s="866"/>
      <c r="Z164" s="868"/>
      <c r="AA164" s="868"/>
      <c r="AB164" s="866"/>
      <c r="AC164" s="866"/>
      <c r="AD164" s="868"/>
      <c r="AE164" s="868"/>
    </row>
    <row r="165" spans="1:31" ht="14.4" hidden="1" thickTop="1" x14ac:dyDescent="0.25">
      <c r="A165" s="539"/>
      <c r="B165" s="539"/>
      <c r="C165" s="539"/>
      <c r="D165" s="539"/>
      <c r="E165" s="561"/>
      <c r="F165" s="561"/>
      <c r="G165" s="561"/>
      <c r="H165" s="561"/>
      <c r="I165" s="561"/>
      <c r="J165" s="561">
        <v>25</v>
      </c>
      <c r="K165" s="677">
        <f>IF($E$138=25, 625000,0)</f>
        <v>0</v>
      </c>
      <c r="L165" s="196"/>
      <c r="M165" s="196"/>
      <c r="N165" s="866"/>
      <c r="O165" s="866"/>
      <c r="P165" s="866"/>
      <c r="Q165" s="866"/>
      <c r="R165" s="866"/>
      <c r="S165" s="866"/>
      <c r="T165" s="866"/>
      <c r="U165" s="866"/>
      <c r="V165" s="866"/>
      <c r="W165" s="866"/>
      <c r="Y165" s="866"/>
      <c r="Z165" s="868"/>
      <c r="AA165" s="868"/>
      <c r="AB165" s="866"/>
      <c r="AC165" s="866"/>
      <c r="AD165" s="868"/>
      <c r="AE165" s="868"/>
    </row>
    <row r="166" spans="1:31" ht="14.4" hidden="1" thickTop="1" x14ac:dyDescent="0.25">
      <c r="A166" s="539"/>
      <c r="B166" s="539"/>
      <c r="C166" s="539"/>
      <c r="D166" s="539"/>
      <c r="E166" s="561"/>
      <c r="F166" s="561"/>
      <c r="G166" s="561"/>
      <c r="H166" s="561"/>
      <c r="I166" s="561"/>
      <c r="J166" s="561"/>
      <c r="K166" s="677"/>
      <c r="L166" s="196"/>
      <c r="M166" s="196"/>
      <c r="N166" s="866"/>
      <c r="O166" s="866"/>
      <c r="P166" s="866"/>
      <c r="Q166" s="866"/>
      <c r="R166" s="866"/>
      <c r="S166" s="866"/>
      <c r="T166" s="866"/>
      <c r="U166" s="866"/>
      <c r="V166" s="866"/>
      <c r="W166" s="866"/>
      <c r="Y166" s="866"/>
      <c r="Z166" s="868"/>
      <c r="AA166" s="868"/>
      <c r="AB166" s="866"/>
      <c r="AC166" s="866"/>
      <c r="AD166" s="868"/>
      <c r="AE166" s="868"/>
    </row>
    <row r="167" spans="1:31" ht="15" thickTop="1" thickBot="1" x14ac:dyDescent="0.3">
      <c r="A167" s="453"/>
      <c r="B167" s="453"/>
      <c r="C167" s="328"/>
      <c r="D167" s="328"/>
      <c r="E167" s="328"/>
      <c r="F167" s="328"/>
      <c r="G167" s="328"/>
      <c r="H167" s="328"/>
      <c r="I167" s="328"/>
      <c r="J167" s="328"/>
      <c r="K167" s="443"/>
      <c r="L167" s="90"/>
      <c r="M167" s="90"/>
      <c r="N167" s="866"/>
      <c r="O167" s="866"/>
      <c r="P167" s="866"/>
      <c r="Q167" s="866"/>
      <c r="R167" s="866"/>
      <c r="S167" s="866"/>
      <c r="T167" s="866"/>
      <c r="U167" s="866"/>
      <c r="V167" s="866"/>
      <c r="W167" s="866"/>
      <c r="Y167" s="866"/>
      <c r="Z167" s="868"/>
      <c r="AA167" s="868"/>
      <c r="AB167" s="866"/>
      <c r="AC167" s="866"/>
      <c r="AD167" s="868"/>
      <c r="AE167" s="868"/>
    </row>
    <row r="168" spans="1:31" ht="15.6" thickTop="1" thickBot="1" x14ac:dyDescent="0.35">
      <c r="A168" s="319" t="s">
        <v>427</v>
      </c>
      <c r="B168" s="319"/>
      <c r="C168" s="321" t="s">
        <v>59</v>
      </c>
      <c r="D168" s="320"/>
      <c r="E168" s="320"/>
      <c r="F168" s="320"/>
      <c r="G168" s="320"/>
      <c r="H168" s="458"/>
      <c r="I168" s="320"/>
      <c r="J168" s="320"/>
      <c r="K168" s="311" t="s">
        <v>226</v>
      </c>
      <c r="L168" s="192"/>
      <c r="M168" s="192"/>
      <c r="N168" s="866"/>
      <c r="O168" s="866"/>
      <c r="P168" s="866"/>
      <c r="Q168" s="866"/>
      <c r="R168" s="866"/>
      <c r="S168" s="866"/>
      <c r="T168" s="866"/>
      <c r="U168" s="866"/>
      <c r="V168" s="866"/>
      <c r="W168" s="866"/>
      <c r="Y168" s="866"/>
      <c r="Z168" s="868"/>
      <c r="AA168" s="868"/>
      <c r="AB168" s="866"/>
      <c r="AC168" s="866"/>
      <c r="AD168" s="868"/>
      <c r="AE168" s="868"/>
    </row>
    <row r="169" spans="1:31" ht="14.4" thickTop="1" x14ac:dyDescent="0.25">
      <c r="A169" s="319" t="s">
        <v>329</v>
      </c>
      <c r="B169" s="319"/>
      <c r="C169" s="320"/>
      <c r="D169" s="320"/>
      <c r="E169" s="320"/>
      <c r="F169" s="320"/>
      <c r="G169" s="320"/>
      <c r="H169" s="320"/>
      <c r="I169" s="438"/>
      <c r="J169" s="320"/>
      <c r="K169" s="438"/>
      <c r="L169" s="90"/>
      <c r="M169" s="90"/>
      <c r="N169" s="866"/>
      <c r="O169" s="866"/>
      <c r="P169" s="866"/>
      <c r="Q169" s="866"/>
      <c r="R169" s="866"/>
      <c r="S169" s="866"/>
      <c r="T169" s="866"/>
      <c r="U169" s="866"/>
      <c r="V169" s="866"/>
      <c r="W169" s="866"/>
      <c r="Y169" s="866"/>
      <c r="Z169" s="868"/>
      <c r="AA169" s="868"/>
      <c r="AB169" s="866"/>
      <c r="AC169" s="866"/>
      <c r="AD169" s="868"/>
      <c r="AE169" s="868"/>
    </row>
    <row r="170" spans="1:31" x14ac:dyDescent="0.25">
      <c r="A170" s="319" t="s">
        <v>339</v>
      </c>
      <c r="B170" s="319"/>
      <c r="C170" s="320"/>
      <c r="D170" s="320"/>
      <c r="E170" s="320"/>
      <c r="F170" s="320"/>
      <c r="G170" s="320"/>
      <c r="H170" s="320"/>
      <c r="I170" s="438"/>
      <c r="J170" s="320"/>
      <c r="K170" s="438"/>
      <c r="L170" s="90"/>
      <c r="M170" s="90"/>
      <c r="N170" s="866"/>
      <c r="O170" s="866"/>
      <c r="P170" s="866"/>
      <c r="Q170" s="866"/>
      <c r="R170" s="866"/>
      <c r="S170" s="866"/>
      <c r="T170" s="866"/>
      <c r="U170" s="866"/>
      <c r="V170" s="866"/>
      <c r="W170" s="866"/>
      <c r="Y170" s="866"/>
      <c r="Z170" s="868"/>
      <c r="AA170" s="868"/>
      <c r="AB170" s="866"/>
      <c r="AC170" s="866"/>
      <c r="AD170" s="868"/>
      <c r="AE170" s="868"/>
    </row>
    <row r="171" spans="1:31" ht="23.25" customHeight="1" thickBot="1" x14ac:dyDescent="0.3">
      <c r="A171" s="319" t="s">
        <v>340</v>
      </c>
      <c r="B171" s="319"/>
      <c r="C171" s="320"/>
      <c r="D171" s="320"/>
      <c r="E171" s="320"/>
      <c r="F171" s="320"/>
      <c r="G171" s="320"/>
      <c r="H171" s="320"/>
      <c r="I171" s="438"/>
      <c r="J171" s="320"/>
      <c r="K171" s="320"/>
      <c r="L171" s="23"/>
      <c r="M171" s="23"/>
      <c r="N171" s="866"/>
      <c r="O171" s="866"/>
      <c r="P171" s="866"/>
      <c r="Q171" s="866"/>
      <c r="R171" s="866"/>
      <c r="S171" s="866"/>
      <c r="T171" s="866"/>
      <c r="U171" s="866"/>
      <c r="V171" s="866"/>
      <c r="W171" s="866"/>
      <c r="Y171" s="866"/>
      <c r="Z171" s="868"/>
      <c r="AA171" s="868"/>
      <c r="AB171" s="866"/>
      <c r="AC171" s="866"/>
      <c r="AD171" s="868"/>
      <c r="AE171" s="868"/>
    </row>
    <row r="172" spans="1:31" ht="15" thickTop="1" thickBot="1" x14ac:dyDescent="0.3">
      <c r="A172" s="319" t="s">
        <v>365</v>
      </c>
      <c r="B172" s="320"/>
      <c r="C172" s="320"/>
      <c r="D172" s="320"/>
      <c r="E172" s="320"/>
      <c r="F172" s="320"/>
      <c r="G172" s="320"/>
      <c r="H172" s="320"/>
      <c r="I172" s="459"/>
      <c r="J172" s="320"/>
      <c r="K172" s="460"/>
      <c r="L172" s="197"/>
      <c r="M172" s="197"/>
      <c r="N172" s="866"/>
      <c r="O172" s="866"/>
      <c r="P172" s="866"/>
      <c r="Q172" s="866"/>
      <c r="R172" s="866"/>
      <c r="S172" s="866"/>
      <c r="T172" s="866"/>
      <c r="U172" s="866"/>
      <c r="V172" s="866"/>
      <c r="W172" s="866"/>
      <c r="Y172" s="866"/>
      <c r="Z172" s="868"/>
      <c r="AA172" s="868"/>
      <c r="AB172" s="866"/>
      <c r="AC172" s="866"/>
      <c r="AD172" s="868"/>
      <c r="AE172" s="868"/>
    </row>
    <row r="173" spans="1:31" ht="15.6" thickTop="1" thickBot="1" x14ac:dyDescent="0.35">
      <c r="A173" s="458" t="s">
        <v>366</v>
      </c>
      <c r="B173" s="319"/>
      <c r="C173" s="320"/>
      <c r="D173" s="320"/>
      <c r="E173" s="319"/>
      <c r="F173" s="319"/>
      <c r="G173" s="319"/>
      <c r="H173" s="320"/>
      <c r="I173" s="459"/>
      <c r="J173" s="320"/>
      <c r="K173" s="460"/>
      <c r="L173" s="197"/>
      <c r="M173" s="197"/>
      <c r="N173" s="866"/>
      <c r="O173" s="866"/>
      <c r="P173" s="866"/>
      <c r="Q173" s="866"/>
      <c r="R173" s="866"/>
      <c r="S173" s="866"/>
      <c r="T173" s="866"/>
      <c r="U173" s="866"/>
      <c r="V173" s="866"/>
      <c r="W173" s="866"/>
      <c r="Y173" s="866"/>
      <c r="Z173" s="868"/>
      <c r="AA173" s="868"/>
      <c r="AB173" s="866"/>
      <c r="AC173" s="866"/>
      <c r="AD173" s="868"/>
      <c r="AE173" s="868"/>
    </row>
    <row r="174" spans="1:31" ht="15.6" thickTop="1" thickBot="1" x14ac:dyDescent="0.35">
      <c r="A174" s="630"/>
      <c r="B174" s="450"/>
      <c r="C174" s="325"/>
      <c r="D174" s="325"/>
      <c r="E174" s="450"/>
      <c r="F174" s="450"/>
      <c r="G174" s="450"/>
      <c r="H174" s="325"/>
      <c r="I174" s="244"/>
      <c r="J174" s="325"/>
      <c r="K174" s="325"/>
      <c r="L174" s="23"/>
      <c r="M174" s="23"/>
      <c r="N174" s="866"/>
      <c r="O174" s="866"/>
      <c r="P174" s="866"/>
      <c r="Q174" s="866"/>
      <c r="R174" s="866"/>
      <c r="S174" s="866"/>
      <c r="T174" s="866"/>
      <c r="U174" s="866"/>
      <c r="V174" s="866"/>
      <c r="W174" s="866"/>
      <c r="Y174" s="866"/>
      <c r="Z174" s="868"/>
      <c r="AA174" s="868"/>
      <c r="AB174" s="866"/>
      <c r="AC174" s="866"/>
      <c r="AD174" s="868"/>
      <c r="AE174" s="868"/>
    </row>
    <row r="175" spans="1:31" ht="15.6" thickTop="1" thickBot="1" x14ac:dyDescent="0.35">
      <c r="A175" s="319" t="s">
        <v>428</v>
      </c>
      <c r="B175" s="319"/>
      <c r="C175" s="320"/>
      <c r="D175" s="320"/>
      <c r="E175" s="321" t="s">
        <v>60</v>
      </c>
      <c r="F175" s="458"/>
      <c r="G175" s="320"/>
      <c r="H175" s="320"/>
      <c r="I175" s="438"/>
      <c r="J175" s="320"/>
      <c r="K175" s="311" t="s">
        <v>119</v>
      </c>
      <c r="L175" s="192"/>
      <c r="M175" s="192"/>
      <c r="N175" s="866"/>
      <c r="O175" s="866"/>
      <c r="P175" s="866"/>
      <c r="Q175" s="866"/>
      <c r="R175" s="866"/>
      <c r="S175" s="866"/>
      <c r="T175" s="866"/>
      <c r="U175" s="866"/>
      <c r="V175" s="866"/>
      <c r="W175" s="866"/>
      <c r="Y175" s="866"/>
      <c r="Z175" s="866"/>
      <c r="AA175" s="866"/>
      <c r="AB175" s="866"/>
      <c r="AC175" s="866"/>
      <c r="AD175" s="866"/>
      <c r="AE175" s="866"/>
    </row>
    <row r="176" spans="1:31" ht="14.4" thickTop="1" x14ac:dyDescent="0.25">
      <c r="A176" s="319" t="s">
        <v>329</v>
      </c>
      <c r="B176" s="319"/>
      <c r="C176" s="320"/>
      <c r="D176" s="320"/>
      <c r="E176" s="320"/>
      <c r="F176" s="320"/>
      <c r="G176" s="320"/>
      <c r="H176" s="320"/>
      <c r="I176" s="438"/>
      <c r="J176" s="438"/>
      <c r="K176" s="438"/>
      <c r="L176" s="198"/>
      <c r="M176" s="198"/>
      <c r="N176" s="866"/>
      <c r="O176" s="866"/>
      <c r="P176" s="866"/>
      <c r="Q176" s="866"/>
      <c r="R176" s="866"/>
      <c r="S176" s="866"/>
      <c r="T176" s="866"/>
      <c r="U176" s="866"/>
      <c r="V176" s="866"/>
      <c r="W176" s="866"/>
      <c r="Y176" s="866"/>
      <c r="Z176" s="866"/>
      <c r="AA176" s="866"/>
      <c r="AB176" s="866"/>
      <c r="AC176" s="866"/>
      <c r="AD176" s="866"/>
      <c r="AE176" s="866"/>
    </row>
    <row r="177" spans="1:52" x14ac:dyDescent="0.25">
      <c r="A177" s="319" t="s">
        <v>351</v>
      </c>
      <c r="B177" s="319"/>
      <c r="C177" s="320"/>
      <c r="D177" s="320"/>
      <c r="E177" s="320"/>
      <c r="F177" s="320"/>
      <c r="G177" s="320"/>
      <c r="H177" s="320"/>
      <c r="I177" s="438"/>
      <c r="J177" s="438"/>
      <c r="K177" s="438"/>
      <c r="L177" s="198"/>
      <c r="M177" s="198"/>
      <c r="N177" s="326"/>
      <c r="O177" s="866"/>
      <c r="P177" s="866"/>
      <c r="Q177" s="866"/>
      <c r="R177" s="866"/>
      <c r="S177" s="866"/>
      <c r="T177" s="866"/>
      <c r="U177" s="866"/>
      <c r="V177" s="866"/>
      <c r="W177" s="866"/>
      <c r="Y177" s="866"/>
      <c r="Z177" s="866"/>
      <c r="AA177" s="866"/>
      <c r="AB177" s="866"/>
      <c r="AC177" s="866"/>
      <c r="AD177" s="866"/>
      <c r="AE177" s="866"/>
    </row>
    <row r="178" spans="1:52" x14ac:dyDescent="0.25">
      <c r="A178" s="319" t="s">
        <v>352</v>
      </c>
      <c r="B178" s="319"/>
      <c r="C178" s="320"/>
      <c r="D178" s="320"/>
      <c r="E178" s="320"/>
      <c r="F178" s="320"/>
      <c r="G178" s="320"/>
      <c r="H178" s="320"/>
      <c r="I178" s="438"/>
      <c r="J178" s="438"/>
      <c r="K178" s="438"/>
      <c r="M178" s="198"/>
      <c r="N178" s="326"/>
      <c r="O178" s="866"/>
      <c r="P178" s="866"/>
      <c r="Q178" s="866"/>
      <c r="R178" s="866"/>
      <c r="S178" s="866"/>
      <c r="T178" s="866"/>
      <c r="U178" s="866"/>
      <c r="V178" s="866"/>
      <c r="W178" s="866"/>
      <c r="Y178" s="866"/>
      <c r="Z178" s="866"/>
      <c r="AA178" s="866"/>
      <c r="AB178" s="866"/>
      <c r="AC178" s="866"/>
      <c r="AD178" s="866"/>
      <c r="AE178" s="866"/>
    </row>
    <row r="179" spans="1:52" x14ac:dyDescent="0.25">
      <c r="A179" s="319" t="s">
        <v>353</v>
      </c>
      <c r="B179" s="320"/>
      <c r="C179" s="320"/>
      <c r="D179" s="320"/>
      <c r="E179" s="320"/>
      <c r="F179" s="320"/>
      <c r="G179" s="459"/>
      <c r="H179" s="320"/>
      <c r="I179" s="320"/>
      <c r="J179" s="320"/>
      <c r="K179" s="320"/>
      <c r="N179" s="866"/>
      <c r="O179" s="866"/>
      <c r="P179" s="866"/>
      <c r="Q179" s="866"/>
      <c r="R179" s="866"/>
      <c r="S179" s="866"/>
      <c r="T179" s="866"/>
      <c r="U179" s="866"/>
      <c r="V179" s="866"/>
      <c r="W179" s="866"/>
      <c r="Y179" s="866"/>
      <c r="Z179" s="866"/>
      <c r="AA179" s="866"/>
      <c r="AB179" s="866"/>
      <c r="AC179" s="866"/>
      <c r="AD179" s="866"/>
      <c r="AE179" s="866"/>
    </row>
    <row r="180" spans="1:52" x14ac:dyDescent="0.25">
      <c r="A180" s="319" t="s">
        <v>264</v>
      </c>
      <c r="B180" s="320"/>
      <c r="C180" s="320"/>
      <c r="D180" s="320"/>
      <c r="E180" s="320"/>
      <c r="F180" s="1564" t="s">
        <v>230</v>
      </c>
      <c r="G180" s="1564"/>
      <c r="H180" s="1564"/>
      <c r="I180" s="1564"/>
      <c r="J180" s="1564"/>
      <c r="K180" s="1564"/>
      <c r="N180" s="866"/>
      <c r="O180" s="866"/>
      <c r="P180" s="641"/>
      <c r="Q180" s="866"/>
      <c r="R180" s="866"/>
      <c r="S180" s="866"/>
      <c r="T180" s="866"/>
      <c r="U180" s="866"/>
      <c r="V180" s="866"/>
      <c r="W180" s="866"/>
      <c r="Y180" s="866"/>
      <c r="Z180" s="866"/>
      <c r="AA180" s="866"/>
      <c r="AB180" s="866"/>
      <c r="AC180" s="866"/>
      <c r="AD180" s="866"/>
      <c r="AE180" s="866"/>
    </row>
    <row r="181" spans="1:52" x14ac:dyDescent="0.25">
      <c r="A181" s="319"/>
      <c r="B181" s="320"/>
      <c r="C181" s="320"/>
      <c r="D181" s="320"/>
      <c r="E181" s="320"/>
      <c r="F181" s="1565" t="s">
        <v>229</v>
      </c>
      <c r="G181" s="1565"/>
      <c r="H181" s="905" t="s">
        <v>227</v>
      </c>
      <c r="I181" s="467" t="s">
        <v>228</v>
      </c>
      <c r="J181" s="467" t="s">
        <v>265</v>
      </c>
      <c r="K181" s="678" t="s">
        <v>4</v>
      </c>
      <c r="L181" s="212" t="s">
        <v>277</v>
      </c>
      <c r="M181" s="197"/>
      <c r="N181" s="866"/>
      <c r="O181" s="866"/>
      <c r="P181" s="641"/>
      <c r="Q181" s="866"/>
      <c r="R181" s="866"/>
      <c r="S181" s="866"/>
      <c r="T181" s="866"/>
      <c r="U181" s="866"/>
      <c r="V181" s="866"/>
      <c r="W181" s="866"/>
      <c r="Y181" s="866"/>
      <c r="Z181" s="866"/>
      <c r="AA181" s="866"/>
      <c r="AB181" s="866"/>
      <c r="AC181" s="866"/>
      <c r="AD181" s="866"/>
      <c r="AE181" s="866"/>
    </row>
    <row r="182" spans="1:52" ht="31.5" customHeight="1" x14ac:dyDescent="0.3">
      <c r="A182" s="1491" t="str">
        <f>IF(K182&gt;24999,"Note: Subaward has reached the 25K limit. If budget continues in future years, do not answer this question.", " ")</f>
        <v xml:space="preserve"> </v>
      </c>
      <c r="B182" s="1491"/>
      <c r="C182" s="1491"/>
      <c r="D182" s="1491"/>
      <c r="E182" s="1491"/>
      <c r="F182" s="1566" t="s">
        <v>232</v>
      </c>
      <c r="G182" s="1567"/>
      <c r="H182" s="634"/>
      <c r="I182" s="634"/>
      <c r="J182" s="679"/>
      <c r="K182" s="680">
        <f>SUM(H182:J182)</f>
        <v>0</v>
      </c>
      <c r="L182" s="217">
        <f>H182+I182</f>
        <v>0</v>
      </c>
      <c r="M182" s="173">
        <f>IF(AND(L182&lt;25000,K182&gt;25000,J182&gt;L182),25000-L182,IF(AND(L182&lt;25000,J182&lt;25000),J182, 0))</f>
        <v>0</v>
      </c>
      <c r="N182" s="866"/>
      <c r="O182" s="866"/>
      <c r="P182" s="641"/>
      <c r="Q182" s="866"/>
      <c r="R182" s="866"/>
      <c r="S182" s="866"/>
      <c r="T182" s="866"/>
      <c r="U182" s="866"/>
      <c r="V182" s="866"/>
      <c r="W182" s="866"/>
      <c r="Y182" s="866"/>
      <c r="Z182" s="866"/>
      <c r="AA182" s="866"/>
      <c r="AB182" s="866"/>
      <c r="AC182" s="866"/>
      <c r="AD182" s="866"/>
      <c r="AE182" s="866"/>
    </row>
    <row r="183" spans="1:52" ht="31.5" customHeight="1" x14ac:dyDescent="0.25">
      <c r="A183" s="1491" t="str">
        <f>IF(K183&gt;24999,"Note: Subaward has reached the 25K limit. If budget continues in future years, do not answer this question.", " ")</f>
        <v xml:space="preserve"> </v>
      </c>
      <c r="B183" s="1491"/>
      <c r="C183" s="1491"/>
      <c r="D183" s="1491"/>
      <c r="E183" s="1491"/>
      <c r="F183" s="1568" t="s">
        <v>233</v>
      </c>
      <c r="G183" s="1569"/>
      <c r="H183" s="681"/>
      <c r="I183" s="681"/>
      <c r="J183" s="682"/>
      <c r="K183" s="683">
        <f>SUM(H183:J183)</f>
        <v>0</v>
      </c>
      <c r="L183" s="216">
        <f>H183+I183</f>
        <v>0</v>
      </c>
      <c r="M183" s="215">
        <f>IF(AND(L183&lt;25000,K183&gt;25000,J183&gt;L183),25000-L183,IF(AND(L183&lt;25000,J183&lt;25000),J183, 0))</f>
        <v>0</v>
      </c>
      <c r="N183" s="866"/>
      <c r="O183" s="866"/>
      <c r="P183" s="641"/>
      <c r="Q183" s="866"/>
      <c r="R183" s="866"/>
      <c r="S183" s="866"/>
      <c r="T183" s="866"/>
      <c r="U183" s="866"/>
      <c r="V183" s="866"/>
      <c r="W183" s="866"/>
      <c r="Y183" s="866"/>
      <c r="Z183" s="866"/>
      <c r="AA183" s="866"/>
      <c r="AB183" s="866"/>
      <c r="AC183" s="866"/>
      <c r="AD183" s="866"/>
      <c r="AE183" s="866"/>
    </row>
    <row r="184" spans="1:52" ht="14.4" hidden="1" x14ac:dyDescent="0.3">
      <c r="A184" s="630"/>
      <c r="B184" s="450"/>
      <c r="C184" s="325"/>
      <c r="D184" s="325"/>
      <c r="E184" s="450"/>
      <c r="F184" s="450"/>
      <c r="G184" s="450"/>
      <c r="H184" s="325"/>
      <c r="I184" s="244"/>
      <c r="J184" s="325"/>
      <c r="K184" s="325"/>
      <c r="L184" s="23"/>
      <c r="M184" s="23"/>
      <c r="N184" s="866"/>
      <c r="O184" s="641"/>
      <c r="P184" s="866"/>
      <c r="Q184" s="866"/>
      <c r="R184" s="866"/>
      <c r="S184" s="866"/>
      <c r="T184" s="866"/>
      <c r="U184" s="866"/>
      <c r="V184" s="866"/>
      <c r="W184" s="866"/>
      <c r="Y184" s="866"/>
      <c r="Z184" s="868"/>
      <c r="AA184" s="868"/>
      <c r="AB184" s="866"/>
      <c r="AC184" s="866"/>
      <c r="AD184" s="868"/>
      <c r="AE184" s="868"/>
    </row>
    <row r="185" spans="1:52" hidden="1" x14ac:dyDescent="0.25">
      <c r="A185" s="539"/>
      <c r="B185" s="539"/>
      <c r="C185" s="539"/>
      <c r="D185" s="539"/>
      <c r="E185" s="539"/>
      <c r="F185" s="539"/>
      <c r="G185" s="539"/>
      <c r="H185" s="539"/>
      <c r="I185" s="539"/>
      <c r="J185" s="539"/>
      <c r="K185" s="684"/>
      <c r="L185" s="199"/>
      <c r="M185" s="199"/>
      <c r="N185" s="866"/>
      <c r="O185" s="866"/>
      <c r="P185" s="866"/>
      <c r="Q185" s="866"/>
      <c r="R185" s="866"/>
      <c r="S185" s="866"/>
      <c r="T185" s="866"/>
      <c r="U185" s="866"/>
      <c r="V185" s="866"/>
      <c r="W185" s="866"/>
      <c r="Y185" s="866"/>
      <c r="Z185" s="868"/>
      <c r="AA185" s="868"/>
      <c r="AB185" s="866"/>
      <c r="AC185" s="866"/>
      <c r="AD185" s="868"/>
      <c r="AE185" s="868"/>
    </row>
    <row r="186" spans="1:52" hidden="1" x14ac:dyDescent="0.25">
      <c r="A186" s="539"/>
      <c r="B186" s="539"/>
      <c r="C186" s="539"/>
      <c r="D186" s="539"/>
      <c r="E186" s="561"/>
      <c r="F186" s="561"/>
      <c r="G186" s="561"/>
      <c r="H186" s="561"/>
      <c r="I186" s="561"/>
      <c r="J186" s="685" t="s">
        <v>71</v>
      </c>
      <c r="K186" s="684">
        <f>SUM(K140:K165)+SUM(K172:K173)+SUM(M182:M183)</f>
        <v>0</v>
      </c>
      <c r="L186" s="199"/>
      <c r="M186" s="199"/>
      <c r="N186" s="866"/>
      <c r="O186" s="866"/>
      <c r="P186" s="866"/>
      <c r="Q186" s="866"/>
      <c r="R186" s="866"/>
      <c r="S186" s="866"/>
      <c r="T186" s="866"/>
      <c r="U186" s="866"/>
      <c r="V186" s="866"/>
      <c r="W186" s="866"/>
      <c r="Y186" s="866"/>
      <c r="Z186" s="868"/>
      <c r="AA186" s="868"/>
      <c r="AB186" s="866"/>
      <c r="AC186" s="866"/>
      <c r="AD186" s="868"/>
      <c r="AE186" s="868"/>
    </row>
    <row r="187" spans="1:52" s="13" customFormat="1" ht="14.4" thickBot="1" x14ac:dyDescent="0.3">
      <c r="A187" s="453"/>
      <c r="B187" s="453"/>
      <c r="C187" s="328"/>
      <c r="D187" s="328"/>
      <c r="E187" s="328"/>
      <c r="F187" s="328"/>
      <c r="G187" s="328"/>
      <c r="H187" s="328"/>
      <c r="I187" s="328"/>
      <c r="J187" s="328"/>
      <c r="K187" s="443"/>
      <c r="L187" s="90"/>
      <c r="M187" s="90"/>
      <c r="N187" s="326"/>
      <c r="O187" s="326"/>
      <c r="P187" s="326"/>
      <c r="Q187" s="326"/>
      <c r="R187" s="326"/>
      <c r="S187" s="326"/>
      <c r="T187" s="326"/>
      <c r="U187" s="326"/>
      <c r="V187" s="326"/>
      <c r="W187" s="326"/>
      <c r="X187" s="326"/>
      <c r="Y187" s="326"/>
      <c r="Z187" s="510"/>
      <c r="AA187" s="510"/>
      <c r="AB187" s="326"/>
      <c r="AC187" s="326"/>
      <c r="AD187" s="510"/>
      <c r="AE187" s="510"/>
      <c r="AP187" s="326"/>
      <c r="AQ187" s="326"/>
      <c r="AR187" s="326"/>
      <c r="AS187" s="326"/>
      <c r="AT187" s="326"/>
      <c r="AU187" s="326"/>
      <c r="AV187" s="326"/>
      <c r="AW187" s="326"/>
      <c r="AX187" s="326"/>
      <c r="AY187" s="326"/>
      <c r="AZ187" s="326"/>
    </row>
    <row r="188" spans="1:52" ht="15" thickTop="1" thickBot="1" x14ac:dyDescent="0.3">
      <c r="A188" s="319" t="s">
        <v>377</v>
      </c>
      <c r="B188" s="319"/>
      <c r="C188" s="320"/>
      <c r="D188" s="320"/>
      <c r="E188" s="320"/>
      <c r="F188" s="320"/>
      <c r="G188" s="320"/>
      <c r="H188" s="321" t="s">
        <v>60</v>
      </c>
      <c r="I188" s="320"/>
      <c r="J188" s="320"/>
      <c r="K188" s="311" t="s">
        <v>273</v>
      </c>
      <c r="L188" s="23"/>
      <c r="M188" s="23"/>
      <c r="N188" s="866"/>
      <c r="O188" s="866"/>
      <c r="P188" s="642"/>
      <c r="Q188" s="866"/>
      <c r="R188" s="866"/>
      <c r="S188" s="866"/>
      <c r="T188" s="866"/>
      <c r="U188" s="866"/>
      <c r="V188" s="866"/>
      <c r="W188" s="866"/>
      <c r="Y188" s="866"/>
      <c r="Z188" s="868"/>
      <c r="AA188" s="868"/>
      <c r="AB188" s="866"/>
      <c r="AC188" s="866"/>
      <c r="AD188" s="868"/>
      <c r="AE188" s="868"/>
    </row>
    <row r="189" spans="1:52" ht="27.75" customHeight="1" thickTop="1" x14ac:dyDescent="0.25">
      <c r="A189" s="319" t="s">
        <v>336</v>
      </c>
      <c r="B189" s="319"/>
      <c r="C189" s="320"/>
      <c r="D189" s="320"/>
      <c r="E189" s="320"/>
      <c r="F189" s="320"/>
      <c r="G189" s="320"/>
      <c r="H189" s="320"/>
      <c r="I189" s="320"/>
      <c r="J189" s="320"/>
      <c r="K189" s="438"/>
      <c r="L189" s="90"/>
      <c r="M189" s="90"/>
      <c r="N189" s="866"/>
      <c r="O189" s="866"/>
      <c r="P189" s="642"/>
      <c r="Q189" s="866"/>
      <c r="R189" s="866"/>
      <c r="S189" s="866"/>
      <c r="T189" s="866"/>
      <c r="U189" s="866"/>
      <c r="V189" s="866"/>
      <c r="W189" s="866"/>
      <c r="Y189" s="866"/>
      <c r="Z189" s="868"/>
      <c r="AA189" s="868"/>
      <c r="AB189" s="866"/>
      <c r="AC189" s="866"/>
      <c r="AD189" s="868"/>
      <c r="AE189" s="868"/>
    </row>
    <row r="190" spans="1:52" x14ac:dyDescent="0.25">
      <c r="A190" s="461" t="s">
        <v>354</v>
      </c>
      <c r="B190" s="319"/>
      <c r="C190" s="320"/>
      <c r="D190" s="320"/>
      <c r="E190" s="320"/>
      <c r="F190" s="320"/>
      <c r="G190" s="320"/>
      <c r="H190" s="320"/>
      <c r="I190" s="320"/>
      <c r="J190" s="320"/>
      <c r="K190" s="320"/>
      <c r="N190" s="866"/>
      <c r="O190" s="866"/>
      <c r="P190" s="866"/>
      <c r="Q190" s="866"/>
      <c r="R190" s="866"/>
      <c r="S190" s="866"/>
      <c r="T190" s="866"/>
      <c r="U190" s="866"/>
      <c r="V190" s="866"/>
      <c r="W190" s="866"/>
      <c r="Y190" s="866"/>
      <c r="Z190" s="868"/>
      <c r="AA190" s="868"/>
      <c r="AB190" s="866"/>
      <c r="AC190" s="866"/>
      <c r="AD190" s="868"/>
      <c r="AE190" s="868"/>
    </row>
    <row r="191" spans="1:52" ht="18" customHeight="1" x14ac:dyDescent="0.25">
      <c r="A191" s="462" t="s">
        <v>355</v>
      </c>
      <c r="B191" s="319"/>
      <c r="C191" s="320"/>
      <c r="D191" s="320"/>
      <c r="E191" s="320"/>
      <c r="F191" s="320"/>
      <c r="G191" s="320"/>
      <c r="H191" s="320"/>
      <c r="I191" s="320"/>
      <c r="J191" s="320"/>
      <c r="K191" s="320"/>
      <c r="N191" s="866"/>
      <c r="O191" s="866"/>
      <c r="P191" s="866"/>
      <c r="Q191" s="866"/>
      <c r="R191" s="866"/>
      <c r="S191" s="866"/>
      <c r="T191" s="866"/>
      <c r="U191" s="866"/>
      <c r="V191" s="866"/>
      <c r="W191" s="866"/>
      <c r="Y191" s="866"/>
      <c r="Z191" s="868"/>
      <c r="AA191" s="868"/>
      <c r="AB191" s="866"/>
      <c r="AC191" s="866"/>
      <c r="AD191" s="868"/>
      <c r="AE191" s="868"/>
    </row>
    <row r="192" spans="1:52" ht="18" customHeight="1" x14ac:dyDescent="0.25">
      <c r="A192" s="463" t="s">
        <v>135</v>
      </c>
      <c r="B192" s="319"/>
      <c r="C192" s="320"/>
      <c r="D192" s="320"/>
      <c r="E192" s="320"/>
      <c r="F192" s="320"/>
      <c r="G192" s="320"/>
      <c r="H192" s="320"/>
      <c r="I192" s="320"/>
      <c r="J192" s="320"/>
      <c r="K192" s="320"/>
      <c r="N192" s="866"/>
      <c r="O192" s="866"/>
      <c r="P192" s="866"/>
      <c r="Q192" s="866"/>
      <c r="R192" s="866"/>
      <c r="S192" s="866"/>
      <c r="T192" s="866"/>
      <c r="U192" s="866"/>
      <c r="V192" s="866"/>
      <c r="W192" s="866"/>
      <c r="Y192" s="866"/>
      <c r="Z192" s="868"/>
      <c r="AA192" s="868"/>
      <c r="AB192" s="866"/>
      <c r="AC192" s="866"/>
      <c r="AD192" s="868"/>
      <c r="AE192" s="868"/>
    </row>
    <row r="193" spans="1:31" ht="17.25" customHeight="1" thickBot="1" x14ac:dyDescent="0.3">
      <c r="A193" s="453"/>
      <c r="B193" s="453"/>
      <c r="C193" s="328"/>
      <c r="D193" s="328"/>
      <c r="E193" s="328"/>
      <c r="F193" s="328"/>
      <c r="G193" s="328"/>
      <c r="H193" s="328"/>
      <c r="I193" s="328"/>
      <c r="J193" s="328"/>
      <c r="K193" s="443"/>
      <c r="L193" s="90"/>
      <c r="M193" s="90"/>
      <c r="N193" s="866"/>
      <c r="O193" s="866"/>
      <c r="P193" s="866"/>
      <c r="Q193" s="866"/>
      <c r="R193" s="866"/>
      <c r="S193" s="866"/>
      <c r="T193" s="866"/>
      <c r="U193" s="866"/>
      <c r="V193" s="866"/>
      <c r="W193" s="866"/>
      <c r="Y193" s="866"/>
      <c r="Z193" s="868"/>
      <c r="AA193" s="868"/>
      <c r="AB193" s="866"/>
      <c r="AC193" s="866"/>
      <c r="AD193" s="868"/>
      <c r="AE193" s="868"/>
    </row>
    <row r="194" spans="1:31" ht="15" thickTop="1" thickBot="1" x14ac:dyDescent="0.3">
      <c r="A194" s="319" t="s">
        <v>378</v>
      </c>
      <c r="B194" s="319"/>
      <c r="C194" s="320"/>
      <c r="D194" s="320"/>
      <c r="E194" s="459"/>
      <c r="F194" s="459"/>
      <c r="G194" s="321" t="s">
        <v>60</v>
      </c>
      <c r="H194" s="459"/>
      <c r="I194" s="320"/>
      <c r="J194" s="320"/>
      <c r="K194" s="311" t="s">
        <v>274</v>
      </c>
      <c r="L194" s="192"/>
      <c r="M194" s="192"/>
      <c r="N194" s="866"/>
      <c r="O194" s="866"/>
      <c r="P194" s="866"/>
      <c r="Q194" s="866"/>
      <c r="R194" s="866"/>
      <c r="S194" s="866"/>
      <c r="T194" s="866"/>
      <c r="U194" s="866"/>
      <c r="V194" s="866"/>
      <c r="W194" s="866"/>
      <c r="Y194" s="866"/>
      <c r="Z194" s="868"/>
      <c r="AA194" s="868"/>
      <c r="AB194" s="866"/>
      <c r="AC194" s="866"/>
      <c r="AD194" s="868"/>
      <c r="AE194" s="868"/>
    </row>
    <row r="195" spans="1:31" ht="14.4" thickTop="1" x14ac:dyDescent="0.25">
      <c r="A195" s="464" t="s">
        <v>206</v>
      </c>
      <c r="B195" s="464"/>
      <c r="C195" s="459"/>
      <c r="D195" s="459"/>
      <c r="E195" s="459"/>
      <c r="F195" s="459"/>
      <c r="G195" s="459"/>
      <c r="H195" s="459"/>
      <c r="I195" s="459"/>
      <c r="J195" s="459"/>
      <c r="K195" s="311"/>
      <c r="L195" s="192"/>
      <c r="M195" s="192"/>
      <c r="N195" s="866"/>
      <c r="O195" s="866"/>
      <c r="P195" s="866"/>
      <c r="Q195" s="866"/>
      <c r="R195" s="866"/>
      <c r="S195" s="866"/>
      <c r="T195" s="866"/>
      <c r="U195" s="866"/>
      <c r="V195" s="866"/>
      <c r="W195" s="866"/>
      <c r="Y195" s="866"/>
      <c r="Z195" s="868"/>
      <c r="AA195" s="868"/>
      <c r="AB195" s="866"/>
      <c r="AC195" s="866"/>
      <c r="AD195" s="868"/>
      <c r="AE195" s="868"/>
    </row>
    <row r="196" spans="1:31" ht="14.4" thickBot="1" x14ac:dyDescent="0.3">
      <c r="A196" s="465"/>
      <c r="B196" s="465"/>
      <c r="C196" s="465"/>
      <c r="D196" s="465"/>
      <c r="E196" s="465"/>
      <c r="F196" s="465"/>
      <c r="G196" s="465"/>
      <c r="H196" s="325"/>
      <c r="I196" s="325"/>
      <c r="J196" s="466"/>
      <c r="K196" s="466"/>
      <c r="L196" s="200"/>
      <c r="M196" s="200"/>
      <c r="N196" s="866"/>
      <c r="O196" s="866"/>
      <c r="P196" s="866"/>
      <c r="Q196" s="866"/>
      <c r="R196" s="866"/>
      <c r="S196" s="866"/>
      <c r="T196" s="866"/>
      <c r="U196" s="866"/>
      <c r="V196" s="866"/>
      <c r="W196" s="866"/>
      <c r="Y196" s="866"/>
      <c r="Z196" s="868"/>
      <c r="AA196" s="868"/>
      <c r="AB196" s="866"/>
      <c r="AC196" s="866"/>
      <c r="AD196" s="868"/>
      <c r="AE196" s="868"/>
    </row>
    <row r="197" spans="1:31" ht="15" thickTop="1" thickBot="1" x14ac:dyDescent="0.3">
      <c r="A197" s="319" t="s">
        <v>379</v>
      </c>
      <c r="B197" s="320"/>
      <c r="C197" s="320"/>
      <c r="D197" s="320"/>
      <c r="E197" s="320"/>
      <c r="F197" s="320"/>
      <c r="G197" s="320"/>
      <c r="H197" s="320"/>
      <c r="I197" s="321" t="s">
        <v>60</v>
      </c>
      <c r="J197" s="320"/>
      <c r="K197" s="311" t="s">
        <v>275</v>
      </c>
      <c r="L197" s="23"/>
      <c r="M197" s="23"/>
      <c r="N197" s="866"/>
      <c r="O197" s="866"/>
      <c r="P197" s="866"/>
      <c r="Q197" s="866"/>
      <c r="R197" s="866"/>
      <c r="S197" s="866"/>
      <c r="T197" s="866"/>
      <c r="U197" s="866"/>
      <c r="V197" s="866"/>
      <c r="W197" s="866"/>
      <c r="Y197" s="866"/>
      <c r="Z197" s="868"/>
      <c r="AA197" s="868"/>
      <c r="AB197" s="866"/>
      <c r="AC197" s="866"/>
      <c r="AD197" s="868"/>
      <c r="AE197" s="868"/>
    </row>
    <row r="198" spans="1:31" ht="15" thickTop="1" thickBot="1" x14ac:dyDescent="0.3">
      <c r="A198" s="319" t="s">
        <v>211</v>
      </c>
      <c r="B198" s="319"/>
      <c r="C198" s="320"/>
      <c r="D198" s="320"/>
      <c r="E198" s="320"/>
      <c r="F198" s="320"/>
      <c r="G198" s="320"/>
      <c r="H198" s="309"/>
      <c r="I198" s="320"/>
      <c r="J198" s="321" t="s">
        <v>59</v>
      </c>
      <c r="K198" s="320"/>
      <c r="L198" s="19"/>
      <c r="M198" s="19"/>
      <c r="N198" s="866"/>
      <c r="O198" s="866"/>
      <c r="P198" s="866"/>
      <c r="Q198" s="866"/>
      <c r="R198" s="866"/>
      <c r="S198" s="866"/>
      <c r="T198" s="866"/>
      <c r="U198" s="866"/>
      <c r="V198" s="866"/>
      <c r="W198" s="866"/>
      <c r="Y198" s="866"/>
      <c r="Z198" s="868"/>
      <c r="AA198" s="868"/>
      <c r="AB198" s="866"/>
      <c r="AC198" s="866"/>
      <c r="AD198" s="868"/>
      <c r="AE198" s="868"/>
    </row>
    <row r="199" spans="1:31" ht="15" thickTop="1" thickBot="1" x14ac:dyDescent="0.3">
      <c r="A199" s="322" t="s">
        <v>446</v>
      </c>
      <c r="B199" s="323"/>
      <c r="C199" s="323"/>
      <c r="D199" s="323"/>
      <c r="E199" s="323"/>
      <c r="F199" s="323"/>
      <c r="G199" s="323"/>
      <c r="H199" s="323"/>
      <c r="I199" s="322"/>
      <c r="J199" s="320"/>
      <c r="K199" s="320"/>
      <c r="L199" s="23"/>
      <c r="M199" s="23"/>
      <c r="N199" s="866"/>
      <c r="O199" s="866"/>
      <c r="P199" s="866"/>
      <c r="Q199" s="866"/>
      <c r="R199" s="866"/>
      <c r="S199" s="866"/>
      <c r="T199" s="866"/>
      <c r="U199" s="866"/>
      <c r="V199" s="866"/>
      <c r="W199" s="866"/>
      <c r="Y199" s="866"/>
      <c r="Z199" s="868"/>
      <c r="AA199" s="868"/>
      <c r="AB199" s="866"/>
      <c r="AC199" s="866"/>
      <c r="AD199" s="868"/>
      <c r="AE199" s="868"/>
    </row>
    <row r="200" spans="1:31" ht="14.4" hidden="1" thickBot="1" x14ac:dyDescent="0.3">
      <c r="A200" s="666"/>
      <c r="B200" s="666"/>
      <c r="C200" s="666"/>
      <c r="D200" s="666"/>
      <c r="E200" s="666"/>
      <c r="F200" s="666"/>
      <c r="G200" s="666"/>
      <c r="H200" s="666"/>
      <c r="I200" s="666"/>
      <c r="J200" s="668" t="s">
        <v>198</v>
      </c>
      <c r="K200" s="320"/>
      <c r="L200" s="23"/>
      <c r="M200" s="23"/>
      <c r="N200" s="866"/>
      <c r="O200" s="866"/>
      <c r="P200" s="866"/>
      <c r="Q200" s="866"/>
      <c r="R200" s="866"/>
      <c r="S200" s="866"/>
      <c r="T200" s="866"/>
      <c r="U200" s="866"/>
      <c r="V200" s="866"/>
      <c r="W200" s="866"/>
      <c r="Y200" s="866"/>
      <c r="Z200" s="868"/>
      <c r="AA200" s="868"/>
      <c r="AB200" s="866"/>
      <c r="AC200" s="866"/>
      <c r="AD200" s="868"/>
      <c r="AE200" s="868"/>
    </row>
    <row r="201" spans="1:31" ht="14.4" hidden="1" thickBot="1" x14ac:dyDescent="0.3">
      <c r="A201" s="666"/>
      <c r="B201" s="666"/>
      <c r="C201" s="666"/>
      <c r="D201" s="666"/>
      <c r="E201" s="666"/>
      <c r="F201" s="666"/>
      <c r="G201" s="666"/>
      <c r="H201" s="666"/>
      <c r="I201" s="666"/>
      <c r="J201" s="669">
        <v>0.69499999999999995</v>
      </c>
      <c r="K201" s="320"/>
      <c r="L201" s="23"/>
      <c r="M201" s="23"/>
      <c r="N201" s="866"/>
      <c r="O201" s="866"/>
      <c r="P201" s="866"/>
      <c r="Q201" s="866"/>
      <c r="R201" s="866"/>
      <c r="S201" s="866"/>
      <c r="T201" s="866"/>
      <c r="U201" s="866"/>
      <c r="V201" s="866"/>
      <c r="W201" s="866"/>
      <c r="Y201" s="866"/>
      <c r="Z201" s="868"/>
      <c r="AA201" s="868"/>
      <c r="AB201" s="866"/>
      <c r="AC201" s="866"/>
      <c r="AD201" s="868"/>
      <c r="AE201" s="868"/>
    </row>
    <row r="202" spans="1:31" ht="14.4" hidden="1" thickBot="1" x14ac:dyDescent="0.3">
      <c r="A202" s="666"/>
      <c r="B202" s="666"/>
      <c r="C202" s="666"/>
      <c r="D202" s="666"/>
      <c r="E202" s="666"/>
      <c r="F202" s="666"/>
      <c r="G202" s="666"/>
      <c r="H202" s="666"/>
      <c r="I202" s="666"/>
      <c r="J202" s="669">
        <v>0.34</v>
      </c>
      <c r="K202" s="320"/>
      <c r="L202" s="23"/>
      <c r="M202" s="23"/>
      <c r="N202" s="866"/>
      <c r="O202" s="866"/>
      <c r="P202" s="866"/>
      <c r="Q202" s="866"/>
      <c r="R202" s="866"/>
      <c r="S202" s="866"/>
      <c r="T202" s="866"/>
      <c r="U202" s="866"/>
      <c r="V202" s="866"/>
      <c r="W202" s="866"/>
      <c r="Y202" s="866"/>
      <c r="Z202" s="868"/>
      <c r="AA202" s="868"/>
      <c r="AB202" s="866"/>
      <c r="AC202" s="866"/>
      <c r="AD202" s="868"/>
      <c r="AE202" s="868"/>
    </row>
    <row r="203" spans="1:31" ht="14.4" hidden="1" thickBot="1" x14ac:dyDescent="0.3">
      <c r="A203" s="666"/>
      <c r="B203" s="666"/>
      <c r="C203" s="666"/>
      <c r="D203" s="666"/>
      <c r="E203" s="666"/>
      <c r="F203" s="666"/>
      <c r="G203" s="666"/>
      <c r="H203" s="666"/>
      <c r="I203" s="666"/>
      <c r="J203" s="669">
        <v>0.41</v>
      </c>
      <c r="K203" s="320"/>
      <c r="L203" s="23"/>
      <c r="M203" s="23"/>
      <c r="N203" s="866"/>
      <c r="O203" s="866"/>
      <c r="P203" s="866"/>
      <c r="Q203" s="866"/>
      <c r="R203" s="866"/>
      <c r="S203" s="866"/>
      <c r="T203" s="866"/>
      <c r="U203" s="866"/>
      <c r="V203" s="866"/>
      <c r="W203" s="866"/>
      <c r="Y203" s="866"/>
      <c r="Z203" s="868"/>
      <c r="AA203" s="868"/>
      <c r="AB203" s="866"/>
      <c r="AC203" s="866"/>
      <c r="AD203" s="868"/>
      <c r="AE203" s="868"/>
    </row>
    <row r="204" spans="1:31" ht="15" thickTop="1" thickBot="1" x14ac:dyDescent="0.3">
      <c r="A204" s="323"/>
      <c r="B204" s="323"/>
      <c r="C204" s="323"/>
      <c r="D204" s="323"/>
      <c r="E204" s="323"/>
      <c r="F204" s="323"/>
      <c r="G204" s="323"/>
      <c r="H204" s="323"/>
      <c r="I204" s="467" t="s">
        <v>203</v>
      </c>
      <c r="J204" s="468"/>
      <c r="K204" s="320"/>
      <c r="L204" s="23"/>
      <c r="M204" s="23"/>
      <c r="N204" s="866"/>
      <c r="O204" s="866"/>
      <c r="P204" s="866"/>
      <c r="Q204" s="866"/>
      <c r="R204" s="866"/>
      <c r="S204" s="866"/>
      <c r="T204" s="866"/>
      <c r="U204" s="866"/>
      <c r="V204" s="866"/>
      <c r="W204" s="866"/>
      <c r="Y204" s="866"/>
      <c r="Z204" s="868"/>
      <c r="AA204" s="868"/>
      <c r="AB204" s="866"/>
      <c r="AC204" s="866"/>
      <c r="AD204" s="868"/>
      <c r="AE204" s="868"/>
    </row>
    <row r="205" spans="1:31" ht="15" hidden="1" thickTop="1" thickBot="1" x14ac:dyDescent="0.3">
      <c r="A205" s="666"/>
      <c r="B205" s="666"/>
      <c r="C205" s="666"/>
      <c r="D205" s="666"/>
      <c r="E205" s="666"/>
      <c r="F205" s="666"/>
      <c r="G205" s="666"/>
      <c r="H205" s="666"/>
      <c r="I205" s="666"/>
      <c r="J205" s="668" t="s">
        <v>205</v>
      </c>
      <c r="K205" s="666"/>
      <c r="L205" s="23"/>
      <c r="M205" s="23"/>
      <c r="N205" s="866"/>
      <c r="O205" s="866"/>
      <c r="P205" s="866"/>
      <c r="Q205" s="866"/>
      <c r="R205" s="866"/>
      <c r="S205" s="866"/>
      <c r="T205" s="866"/>
      <c r="U205" s="866"/>
      <c r="V205" s="866"/>
      <c r="W205" s="866"/>
      <c r="Y205" s="866"/>
      <c r="Z205" s="868"/>
      <c r="AA205" s="868"/>
      <c r="AB205" s="866"/>
      <c r="AC205" s="866"/>
      <c r="AD205" s="868"/>
      <c r="AE205" s="868"/>
    </row>
    <row r="206" spans="1:31" ht="15" hidden="1" thickTop="1" thickBot="1" x14ac:dyDescent="0.3">
      <c r="A206" s="666"/>
      <c r="B206" s="666"/>
      <c r="C206" s="666"/>
      <c r="D206" s="666"/>
      <c r="E206" s="666"/>
      <c r="F206" s="666"/>
      <c r="G206" s="666"/>
      <c r="H206" s="666"/>
      <c r="I206" s="666"/>
      <c r="J206" s="669">
        <v>0.26</v>
      </c>
      <c r="K206" s="666"/>
      <c r="L206" s="23"/>
      <c r="M206" s="23"/>
      <c r="N206" s="866"/>
      <c r="O206" s="866"/>
      <c r="P206" s="866"/>
      <c r="Q206" s="866"/>
      <c r="R206" s="866"/>
      <c r="S206" s="866"/>
      <c r="T206" s="866"/>
      <c r="U206" s="866"/>
      <c r="V206" s="866"/>
      <c r="W206" s="866"/>
      <c r="Y206" s="866"/>
      <c r="Z206" s="868"/>
      <c r="AA206" s="868"/>
      <c r="AB206" s="866"/>
      <c r="AC206" s="866"/>
      <c r="AD206" s="868"/>
      <c r="AE206" s="868"/>
    </row>
    <row r="207" spans="1:31" ht="15" hidden="1" thickTop="1" thickBot="1" x14ac:dyDescent="0.3">
      <c r="A207" s="666"/>
      <c r="B207" s="666"/>
      <c r="C207" s="666"/>
      <c r="D207" s="666"/>
      <c r="E207" s="666"/>
      <c r="F207" s="666"/>
      <c r="G207" s="666"/>
      <c r="H207" s="666"/>
      <c r="I207" s="666"/>
      <c r="J207" s="669">
        <v>0.34</v>
      </c>
      <c r="K207" s="666"/>
      <c r="L207" s="23"/>
      <c r="M207" s="23"/>
      <c r="N207" s="866"/>
      <c r="O207" s="866"/>
      <c r="P207" s="866"/>
      <c r="Q207" s="866"/>
      <c r="R207" s="866"/>
      <c r="S207" s="866"/>
      <c r="T207" s="866"/>
      <c r="U207" s="866"/>
      <c r="V207" s="866"/>
      <c r="W207" s="866"/>
      <c r="Y207" s="866"/>
      <c r="Z207" s="868"/>
      <c r="AA207" s="868"/>
      <c r="AB207" s="866"/>
      <c r="AC207" s="866"/>
      <c r="AD207" s="868"/>
      <c r="AE207" s="868"/>
    </row>
    <row r="208" spans="1:31" ht="15" hidden="1" thickTop="1" thickBot="1" x14ac:dyDescent="0.3">
      <c r="A208" s="666"/>
      <c r="B208" s="666"/>
      <c r="C208" s="666"/>
      <c r="D208" s="666"/>
      <c r="E208" s="666"/>
      <c r="F208" s="666"/>
      <c r="G208" s="666"/>
      <c r="H208" s="666"/>
      <c r="I208" s="666"/>
      <c r="J208" s="669">
        <v>0.41</v>
      </c>
      <c r="K208" s="666"/>
      <c r="L208" s="23"/>
      <c r="M208" s="23"/>
      <c r="N208" s="866"/>
      <c r="O208" s="866"/>
      <c r="P208" s="866"/>
      <c r="Q208" s="866"/>
      <c r="R208" s="866"/>
      <c r="S208" s="866"/>
      <c r="T208" s="866"/>
      <c r="U208" s="866"/>
      <c r="V208" s="866"/>
      <c r="W208" s="866"/>
      <c r="Y208" s="866"/>
      <c r="Z208" s="868"/>
      <c r="AA208" s="868"/>
      <c r="AB208" s="866"/>
      <c r="AC208" s="866"/>
      <c r="AD208" s="868"/>
      <c r="AE208" s="868"/>
    </row>
    <row r="209" spans="1:31" ht="20.25" customHeight="1" thickTop="1" thickBot="1" x14ac:dyDescent="0.3">
      <c r="A209" s="323"/>
      <c r="B209" s="323"/>
      <c r="C209" s="323"/>
      <c r="D209" s="323"/>
      <c r="E209" s="323"/>
      <c r="F209" s="323"/>
      <c r="G209" s="323"/>
      <c r="H209" s="323"/>
      <c r="I209" s="467" t="s">
        <v>204</v>
      </c>
      <c r="J209" s="324"/>
      <c r="K209" s="320"/>
      <c r="L209" s="23"/>
      <c r="M209" s="23"/>
      <c r="N209" s="866"/>
      <c r="O209" s="866"/>
      <c r="P209" s="866"/>
      <c r="Q209" s="866"/>
      <c r="R209" s="866"/>
      <c r="S209" s="866"/>
      <c r="T209" s="866"/>
      <c r="U209" s="866"/>
      <c r="V209" s="866"/>
      <c r="W209" s="866"/>
      <c r="Y209" s="866"/>
      <c r="Z209" s="868"/>
      <c r="AA209" s="868"/>
      <c r="AB209" s="866"/>
      <c r="AC209" s="866"/>
      <c r="AD209" s="868"/>
      <c r="AE209" s="868"/>
    </row>
    <row r="210" spans="1:31" ht="14.4" thickTop="1" x14ac:dyDescent="0.25">
      <c r="A210" s="319" t="s">
        <v>207</v>
      </c>
      <c r="B210" s="320"/>
      <c r="C210" s="320"/>
      <c r="D210" s="320"/>
      <c r="E210" s="320"/>
      <c r="F210" s="320"/>
      <c r="G210" s="320"/>
      <c r="H210" s="320"/>
      <c r="I210" s="320"/>
      <c r="J210" s="320"/>
      <c r="K210" s="320"/>
      <c r="L210" s="23"/>
      <c r="M210" s="23"/>
      <c r="N210" s="866"/>
      <c r="O210" s="866"/>
      <c r="P210" s="866"/>
      <c r="Q210" s="866"/>
      <c r="R210" s="866"/>
      <c r="S210" s="866"/>
      <c r="T210" s="866"/>
      <c r="U210" s="866"/>
      <c r="V210" s="866"/>
      <c r="W210" s="866"/>
      <c r="Y210" s="866"/>
      <c r="Z210" s="868"/>
      <c r="AA210" s="868"/>
      <c r="AB210" s="866"/>
      <c r="AC210" s="866"/>
      <c r="AD210" s="868"/>
      <c r="AE210" s="868"/>
    </row>
    <row r="211" spans="1:31" x14ac:dyDescent="0.25">
      <c r="A211" s="319" t="s">
        <v>347</v>
      </c>
      <c r="B211" s="320"/>
      <c r="C211" s="320"/>
      <c r="D211" s="320"/>
      <c r="E211" s="320"/>
      <c r="F211" s="320"/>
      <c r="G211" s="320"/>
      <c r="H211" s="320"/>
      <c r="I211" s="320"/>
      <c r="J211" s="320"/>
      <c r="K211" s="320"/>
      <c r="L211" s="23"/>
      <c r="M211" s="23"/>
      <c r="N211" s="866"/>
      <c r="O211" s="866"/>
      <c r="P211" s="866"/>
      <c r="Q211" s="866"/>
      <c r="R211" s="866"/>
      <c r="S211" s="866"/>
      <c r="T211" s="866"/>
      <c r="U211" s="866"/>
      <c r="V211" s="866"/>
      <c r="W211" s="866"/>
      <c r="Y211" s="866"/>
      <c r="Z211" s="868"/>
      <c r="AA211" s="868"/>
      <c r="AB211" s="866"/>
      <c r="AC211" s="866"/>
      <c r="AD211" s="868"/>
      <c r="AE211" s="868"/>
    </row>
    <row r="212" spans="1:31" x14ac:dyDescent="0.25">
      <c r="A212" s="319" t="s">
        <v>356</v>
      </c>
      <c r="B212" s="320"/>
      <c r="C212" s="320"/>
      <c r="D212" s="320"/>
      <c r="E212" s="320"/>
      <c r="F212" s="320"/>
      <c r="G212" s="320"/>
      <c r="H212" s="320"/>
      <c r="I212" s="320"/>
      <c r="J212" s="320"/>
      <c r="K212" s="320"/>
      <c r="L212" s="23"/>
      <c r="M212" s="23"/>
      <c r="N212" s="866"/>
      <c r="O212" s="866"/>
      <c r="P212" s="866"/>
      <c r="Q212" s="866"/>
      <c r="R212" s="866"/>
      <c r="S212" s="866"/>
      <c r="T212" s="866"/>
      <c r="U212" s="866"/>
      <c r="V212" s="866"/>
      <c r="W212" s="866"/>
      <c r="Y212" s="866"/>
      <c r="Z212" s="868"/>
      <c r="AA212" s="868"/>
      <c r="AB212" s="866"/>
      <c r="AC212" s="866"/>
      <c r="AD212" s="868"/>
      <c r="AE212" s="868"/>
    </row>
    <row r="213" spans="1:31" x14ac:dyDescent="0.25">
      <c r="A213" s="319" t="s">
        <v>210</v>
      </c>
      <c r="B213" s="320"/>
      <c r="C213" s="320"/>
      <c r="D213" s="320"/>
      <c r="E213" s="320"/>
      <c r="F213" s="320"/>
      <c r="G213" s="320"/>
      <c r="H213" s="320"/>
      <c r="I213" s="320"/>
      <c r="J213" s="320"/>
      <c r="K213" s="320"/>
      <c r="L213" s="23"/>
      <c r="M213" s="23"/>
      <c r="N213" s="866"/>
      <c r="O213" s="866"/>
      <c r="P213" s="866"/>
      <c r="Q213" s="866"/>
      <c r="R213" s="866"/>
      <c r="S213" s="866"/>
      <c r="T213" s="866"/>
      <c r="U213" s="866"/>
      <c r="V213" s="866"/>
      <c r="W213" s="866"/>
      <c r="Y213" s="866"/>
      <c r="Z213" s="868"/>
      <c r="AA213" s="868"/>
      <c r="AB213" s="866"/>
      <c r="AC213" s="866"/>
      <c r="AD213" s="868"/>
      <c r="AE213" s="868"/>
    </row>
    <row r="214" spans="1:31" ht="5.25" customHeight="1" x14ac:dyDescent="0.25">
      <c r="A214" s="319"/>
      <c r="B214" s="320"/>
      <c r="C214" s="320"/>
      <c r="D214" s="320"/>
      <c r="E214" s="320"/>
      <c r="F214" s="320"/>
      <c r="G214" s="320"/>
      <c r="H214" s="320"/>
      <c r="I214" s="320"/>
      <c r="J214" s="320"/>
      <c r="K214" s="320"/>
      <c r="L214" s="23"/>
      <c r="M214" s="23"/>
      <c r="N214" s="866"/>
      <c r="O214" s="866"/>
      <c r="P214" s="866"/>
      <c r="Q214" s="866"/>
      <c r="R214" s="866"/>
      <c r="S214" s="866"/>
      <c r="T214" s="866"/>
      <c r="U214" s="866"/>
      <c r="V214" s="866"/>
      <c r="W214" s="866"/>
      <c r="Y214" s="866"/>
      <c r="Z214" s="868"/>
      <c r="AA214" s="868"/>
      <c r="AB214" s="866"/>
      <c r="AC214" s="866"/>
      <c r="AD214" s="868"/>
      <c r="AE214" s="868"/>
    </row>
    <row r="215" spans="1:31" x14ac:dyDescent="0.25">
      <c r="A215" s="319" t="s">
        <v>225</v>
      </c>
      <c r="B215" s="320"/>
      <c r="C215" s="320"/>
      <c r="D215" s="320"/>
      <c r="E215" s="320"/>
      <c r="F215" s="320"/>
      <c r="G215" s="320"/>
      <c r="H215" s="320"/>
      <c r="I215" s="320"/>
      <c r="J215" s="320"/>
      <c r="K215" s="320"/>
      <c r="L215" s="23"/>
      <c r="M215" s="23"/>
      <c r="N215" s="866"/>
      <c r="O215" s="866"/>
      <c r="P215" s="866"/>
      <c r="Q215" s="866"/>
      <c r="R215" s="866"/>
      <c r="S215" s="866"/>
      <c r="T215" s="866"/>
      <c r="U215" s="866"/>
      <c r="V215" s="866"/>
      <c r="W215" s="866"/>
      <c r="Y215" s="866"/>
      <c r="Z215" s="868"/>
      <c r="AA215" s="868"/>
      <c r="AB215" s="866"/>
      <c r="AC215" s="866"/>
      <c r="AD215" s="868"/>
      <c r="AE215" s="868"/>
    </row>
    <row r="216" spans="1:31" x14ac:dyDescent="0.25">
      <c r="A216" s="319" t="s">
        <v>176</v>
      </c>
      <c r="B216" s="320"/>
      <c r="C216" s="320"/>
      <c r="D216" s="320"/>
      <c r="E216" s="320"/>
      <c r="F216" s="320"/>
      <c r="G216" s="320"/>
      <c r="H216" s="320"/>
      <c r="I216" s="320"/>
      <c r="J216" s="320"/>
      <c r="K216" s="320"/>
      <c r="L216" s="23"/>
      <c r="M216" s="23"/>
      <c r="N216" s="866"/>
      <c r="O216" s="866"/>
      <c r="P216" s="866"/>
      <c r="Q216" s="866"/>
      <c r="R216" s="866"/>
      <c r="S216" s="866"/>
      <c r="T216" s="866"/>
      <c r="U216" s="866"/>
      <c r="V216" s="866"/>
      <c r="W216" s="866"/>
      <c r="Y216" s="866"/>
      <c r="Z216" s="868"/>
      <c r="AA216" s="868"/>
      <c r="AB216" s="866"/>
      <c r="AC216" s="866"/>
      <c r="AD216" s="868"/>
      <c r="AE216" s="868"/>
    </row>
    <row r="217" spans="1:31" x14ac:dyDescent="0.25">
      <c r="A217" s="319" t="s">
        <v>214</v>
      </c>
      <c r="B217" s="320"/>
      <c r="C217" s="320"/>
      <c r="D217" s="320"/>
      <c r="E217" s="320"/>
      <c r="F217" s="320"/>
      <c r="G217" s="320"/>
      <c r="H217" s="320"/>
      <c r="I217" s="320"/>
      <c r="J217" s="320"/>
      <c r="K217" s="320"/>
      <c r="L217" s="23"/>
      <c r="M217" s="23"/>
      <c r="N217" s="866"/>
      <c r="O217" s="866"/>
      <c r="P217" s="866"/>
      <c r="Q217" s="866"/>
      <c r="R217" s="866"/>
      <c r="S217" s="866"/>
      <c r="T217" s="866"/>
      <c r="U217" s="866"/>
      <c r="V217" s="866"/>
      <c r="W217" s="866"/>
      <c r="Y217" s="866"/>
      <c r="Z217" s="868"/>
      <c r="AA217" s="868"/>
      <c r="AB217" s="866"/>
      <c r="AC217" s="866"/>
      <c r="AD217" s="868"/>
      <c r="AE217" s="868"/>
    </row>
    <row r="218" spans="1:31" x14ac:dyDescent="0.25">
      <c r="A218" s="319" t="s">
        <v>177</v>
      </c>
      <c r="B218" s="320"/>
      <c r="C218" s="320"/>
      <c r="D218" s="320"/>
      <c r="E218" s="320"/>
      <c r="F218" s="320"/>
      <c r="G218" s="320"/>
      <c r="H218" s="320"/>
      <c r="I218" s="320"/>
      <c r="J218" s="320"/>
      <c r="K218" s="320"/>
      <c r="L218" s="23"/>
      <c r="M218" s="23"/>
      <c r="N218" s="866"/>
      <c r="O218" s="866"/>
      <c r="P218" s="866"/>
      <c r="Q218" s="866"/>
      <c r="R218" s="866"/>
      <c r="S218" s="866"/>
      <c r="T218" s="866"/>
      <c r="U218" s="866"/>
      <c r="V218" s="866"/>
      <c r="W218" s="866"/>
      <c r="Y218" s="866"/>
      <c r="Z218" s="868"/>
      <c r="AA218" s="868"/>
      <c r="AB218" s="866"/>
      <c r="AC218" s="866"/>
      <c r="AD218" s="868"/>
      <c r="AE218" s="868"/>
    </row>
    <row r="219" spans="1:31" x14ac:dyDescent="0.25">
      <c r="A219" s="319" t="s">
        <v>215</v>
      </c>
      <c r="B219" s="320"/>
      <c r="C219" s="320"/>
      <c r="D219" s="320"/>
      <c r="E219" s="320"/>
      <c r="F219" s="320"/>
      <c r="G219" s="320"/>
      <c r="H219" s="320"/>
      <c r="I219" s="320"/>
      <c r="J219" s="320"/>
      <c r="K219" s="320"/>
      <c r="L219" s="23"/>
      <c r="M219" s="23"/>
      <c r="N219" s="866"/>
      <c r="O219" s="866"/>
      <c r="P219" s="866"/>
      <c r="Q219" s="866"/>
      <c r="R219" s="866"/>
      <c r="S219" s="866"/>
      <c r="T219" s="866"/>
      <c r="U219" s="866"/>
      <c r="V219" s="866"/>
      <c r="W219" s="866"/>
      <c r="Y219" s="866"/>
      <c r="Z219" s="868"/>
      <c r="AA219" s="868"/>
      <c r="AB219" s="866"/>
      <c r="AC219" s="866"/>
      <c r="AD219" s="868"/>
      <c r="AE219" s="868"/>
    </row>
    <row r="220" spans="1:31" x14ac:dyDescent="0.25">
      <c r="A220" s="319" t="s">
        <v>189</v>
      </c>
      <c r="B220" s="320"/>
      <c r="C220" s="320"/>
      <c r="D220" s="320"/>
      <c r="E220" s="320"/>
      <c r="F220" s="320"/>
      <c r="G220" s="320"/>
      <c r="H220" s="320"/>
      <c r="I220" s="320"/>
      <c r="J220" s="320"/>
      <c r="K220" s="320"/>
      <c r="L220" s="23"/>
      <c r="M220" s="23"/>
      <c r="N220" s="866"/>
      <c r="O220" s="866"/>
      <c r="P220" s="866"/>
      <c r="Q220" s="866"/>
      <c r="R220" s="866"/>
      <c r="S220" s="866"/>
      <c r="T220" s="866"/>
      <c r="U220" s="866"/>
      <c r="V220" s="866"/>
      <c r="W220" s="866"/>
      <c r="Y220" s="866"/>
      <c r="Z220" s="868"/>
      <c r="AA220" s="868"/>
      <c r="AB220" s="866"/>
      <c r="AC220" s="866"/>
      <c r="AD220" s="868"/>
      <c r="AE220" s="868"/>
    </row>
    <row r="221" spans="1:31" x14ac:dyDescent="0.25">
      <c r="A221" s="319" t="s">
        <v>216</v>
      </c>
      <c r="B221" s="320"/>
      <c r="C221" s="320"/>
      <c r="D221" s="320"/>
      <c r="E221" s="320"/>
      <c r="F221" s="320"/>
      <c r="G221" s="320"/>
      <c r="H221" s="320"/>
      <c r="I221" s="320"/>
      <c r="J221" s="320"/>
      <c r="K221" s="320"/>
      <c r="L221" s="23"/>
      <c r="M221" s="23"/>
      <c r="N221" s="866"/>
      <c r="O221" s="866"/>
      <c r="P221" s="866"/>
      <c r="Q221" s="866"/>
      <c r="R221" s="866"/>
      <c r="S221" s="866"/>
      <c r="T221" s="866"/>
      <c r="U221" s="866"/>
      <c r="V221" s="866"/>
      <c r="W221" s="866"/>
      <c r="Y221" s="866"/>
      <c r="Z221" s="868"/>
      <c r="AA221" s="868"/>
      <c r="AB221" s="866"/>
      <c r="AC221" s="866"/>
      <c r="AD221" s="868"/>
      <c r="AE221" s="868"/>
    </row>
    <row r="222" spans="1:31" x14ac:dyDescent="0.25">
      <c r="A222" s="319" t="s">
        <v>217</v>
      </c>
      <c r="B222" s="320"/>
      <c r="C222" s="320"/>
      <c r="D222" s="320"/>
      <c r="E222" s="320"/>
      <c r="F222" s="320"/>
      <c r="G222" s="320"/>
      <c r="H222" s="320"/>
      <c r="I222" s="320"/>
      <c r="J222" s="320"/>
      <c r="K222" s="320"/>
      <c r="L222" s="23"/>
      <c r="M222" s="23"/>
      <c r="N222" s="866"/>
      <c r="O222" s="866"/>
      <c r="P222" s="866"/>
      <c r="Q222" s="866"/>
      <c r="R222" s="866"/>
      <c r="S222" s="866"/>
      <c r="T222" s="866"/>
      <c r="U222" s="866"/>
      <c r="V222" s="866"/>
      <c r="W222" s="866"/>
      <c r="Y222" s="866"/>
      <c r="Z222" s="868"/>
      <c r="AA222" s="868"/>
      <c r="AB222" s="866"/>
      <c r="AC222" s="866"/>
      <c r="AD222" s="868"/>
      <c r="AE222" s="868"/>
    </row>
    <row r="223" spans="1:31" x14ac:dyDescent="0.25">
      <c r="A223" s="436"/>
      <c r="B223" s="436"/>
      <c r="C223" s="436"/>
      <c r="D223" s="436"/>
      <c r="E223" s="436"/>
      <c r="F223" s="436"/>
      <c r="G223" s="436"/>
      <c r="H223" s="437"/>
      <c r="I223" s="436"/>
      <c r="J223" s="436"/>
      <c r="K223" s="325"/>
      <c r="L223" s="23"/>
      <c r="M223" s="23"/>
      <c r="N223" s="866"/>
      <c r="O223" s="866"/>
      <c r="P223" s="866"/>
      <c r="Q223" s="866"/>
      <c r="R223" s="866"/>
      <c r="S223" s="866"/>
      <c r="T223" s="866"/>
      <c r="U223" s="866"/>
      <c r="V223" s="866"/>
      <c r="W223" s="866"/>
      <c r="Y223" s="866"/>
      <c r="Z223" s="868"/>
      <c r="AA223" s="868"/>
      <c r="AB223" s="866"/>
      <c r="AC223" s="866"/>
      <c r="AD223" s="868"/>
      <c r="AE223" s="868"/>
    </row>
    <row r="224" spans="1:31" ht="18.600000000000001" thickBot="1" x14ac:dyDescent="0.3">
      <c r="A224" s="626" t="s">
        <v>431</v>
      </c>
      <c r="B224" s="453"/>
      <c r="C224" s="328"/>
      <c r="D224" s="328"/>
      <c r="E224" s="328"/>
      <c r="F224" s="328"/>
      <c r="G224" s="328"/>
      <c r="H224" s="328"/>
      <c r="I224" s="328"/>
      <c r="J224" s="328"/>
      <c r="K224" s="443"/>
      <c r="L224" s="23"/>
      <c r="M224" s="23"/>
      <c r="N224" s="866"/>
      <c r="O224" s="866"/>
      <c r="P224" s="866"/>
      <c r="Q224" s="866"/>
      <c r="R224" s="866"/>
      <c r="S224" s="866"/>
      <c r="T224" s="866"/>
      <c r="U224" s="866"/>
      <c r="V224" s="866"/>
      <c r="W224" s="866"/>
      <c r="Y224" s="866"/>
      <c r="Z224" s="868"/>
      <c r="AA224" s="868"/>
      <c r="AB224" s="866"/>
      <c r="AC224" s="866"/>
      <c r="AD224" s="868"/>
      <c r="AE224" s="868"/>
    </row>
    <row r="225" spans="1:59" ht="15" thickTop="1" thickBot="1" x14ac:dyDescent="0.3">
      <c r="A225" s="319" t="s">
        <v>438</v>
      </c>
      <c r="B225" s="319"/>
      <c r="C225" s="320"/>
      <c r="D225" s="320"/>
      <c r="E225" s="320"/>
      <c r="F225" s="320"/>
      <c r="G225" s="320"/>
      <c r="H225" s="320"/>
      <c r="I225" s="321" t="s">
        <v>59</v>
      </c>
      <c r="J225" s="320"/>
      <c r="K225" s="311" t="s">
        <v>444</v>
      </c>
      <c r="L225" s="190"/>
      <c r="M225" s="190"/>
      <c r="N225" s="866"/>
      <c r="O225" s="866"/>
      <c r="P225" s="866"/>
      <c r="Q225" s="866"/>
      <c r="R225" s="866"/>
      <c r="S225" s="866"/>
      <c r="T225" s="866"/>
      <c r="U225" s="866"/>
      <c r="V225" s="866"/>
      <c r="W225" s="866"/>
      <c r="Y225" s="866"/>
      <c r="Z225" s="868"/>
      <c r="AA225" s="868"/>
      <c r="AB225" s="866"/>
      <c r="AC225" s="866"/>
      <c r="AD225" s="868"/>
      <c r="AE225" s="868"/>
    </row>
    <row r="226" spans="1:59" ht="15" thickTop="1" thickBot="1" x14ac:dyDescent="0.3">
      <c r="A226" s="319" t="s">
        <v>350</v>
      </c>
      <c r="B226" s="319"/>
      <c r="C226" s="320"/>
      <c r="D226" s="320"/>
      <c r="E226" s="320"/>
      <c r="F226" s="320"/>
      <c r="G226" s="320"/>
      <c r="H226" s="320"/>
      <c r="I226" s="320"/>
      <c r="J226" s="449"/>
      <c r="K226" s="320"/>
      <c r="L226" s="23"/>
      <c r="M226" s="23"/>
      <c r="N226" s="866"/>
      <c r="O226" s="866"/>
      <c r="P226" s="866"/>
      <c r="Q226" s="866"/>
      <c r="R226" s="866"/>
      <c r="S226" s="866"/>
      <c r="T226" s="866"/>
      <c r="U226" s="866"/>
      <c r="V226" s="866"/>
      <c r="W226" s="866"/>
      <c r="Y226" s="866"/>
      <c r="Z226" s="868"/>
      <c r="AA226" s="868"/>
      <c r="AB226" s="866"/>
      <c r="AC226" s="866"/>
      <c r="AD226" s="868"/>
      <c r="AE226" s="868"/>
    </row>
    <row r="227" spans="1:59" s="56" customFormat="1" ht="15" thickTop="1" thickBot="1" x14ac:dyDescent="0.3">
      <c r="A227" s="450"/>
      <c r="B227" s="450"/>
      <c r="C227" s="325"/>
      <c r="D227" s="325"/>
      <c r="E227" s="325"/>
      <c r="F227" s="325"/>
      <c r="G227" s="325"/>
      <c r="H227" s="325"/>
      <c r="I227" s="325"/>
      <c r="J227" s="325"/>
      <c r="K227" s="451"/>
      <c r="L227" s="191"/>
      <c r="M227" s="191"/>
      <c r="N227" s="326"/>
      <c r="O227" s="326"/>
      <c r="P227" s="326"/>
      <c r="Q227" s="326"/>
      <c r="R227" s="326"/>
      <c r="S227" s="326"/>
      <c r="T227" s="326"/>
      <c r="U227" s="326"/>
      <c r="V227" s="326"/>
      <c r="W227" s="326"/>
      <c r="X227" s="326"/>
      <c r="Y227" s="326"/>
      <c r="Z227" s="510"/>
      <c r="AA227" s="510"/>
      <c r="AB227" s="326"/>
      <c r="AC227" s="326"/>
      <c r="AD227" s="510"/>
      <c r="AE227" s="510"/>
      <c r="AF227" s="13"/>
      <c r="AG227" s="13"/>
      <c r="AH227" s="13"/>
      <c r="AI227" s="13"/>
      <c r="AJ227" s="13"/>
      <c r="AK227" s="13"/>
      <c r="AL227" s="13"/>
      <c r="AM227" s="13"/>
      <c r="AN227" s="13"/>
      <c r="AO227" s="13"/>
      <c r="AP227" s="326"/>
      <c r="AQ227" s="326"/>
      <c r="AR227" s="326"/>
      <c r="AS227" s="326"/>
      <c r="AT227" s="326"/>
      <c r="AU227" s="326"/>
      <c r="AV227" s="326"/>
      <c r="AW227" s="326"/>
      <c r="AX227" s="326"/>
      <c r="AY227" s="326"/>
      <c r="AZ227" s="326"/>
      <c r="BA227" s="13"/>
      <c r="BB227" s="13"/>
      <c r="BC227" s="13"/>
      <c r="BD227" s="13"/>
      <c r="BE227" s="13"/>
      <c r="BF227" s="13"/>
      <c r="BG227" s="13"/>
    </row>
    <row r="228" spans="1:59" ht="16.5" customHeight="1" thickTop="1" thickBot="1" x14ac:dyDescent="0.3">
      <c r="A228" s="438" t="s">
        <v>381</v>
      </c>
      <c r="B228" s="438"/>
      <c r="C228" s="438"/>
      <c r="D228" s="438"/>
      <c r="E228" s="321" t="s">
        <v>60</v>
      </c>
      <c r="F228" s="438"/>
      <c r="G228" s="438"/>
      <c r="H228" s="438"/>
      <c r="I228" s="438"/>
      <c r="J228" s="438"/>
      <c r="K228" s="311" t="s">
        <v>114</v>
      </c>
      <c r="L228" s="192"/>
      <c r="M228" s="192"/>
      <c r="N228" s="866"/>
      <c r="O228" s="866"/>
      <c r="P228" s="866"/>
      <c r="Q228" s="866"/>
      <c r="R228" s="866"/>
      <c r="S228" s="866"/>
      <c r="T228" s="866"/>
      <c r="U228" s="866"/>
      <c r="V228" s="866"/>
      <c r="W228" s="866"/>
      <c r="Y228" s="866"/>
      <c r="Z228" s="868"/>
      <c r="AA228" s="868"/>
      <c r="AB228" s="866"/>
      <c r="AC228" s="866"/>
      <c r="AD228" s="868"/>
      <c r="AE228" s="868"/>
    </row>
    <row r="229" spans="1:59" ht="15" thickTop="1" thickBot="1" x14ac:dyDescent="0.3">
      <c r="A229" s="319" t="s">
        <v>319</v>
      </c>
      <c r="B229" s="319"/>
      <c r="C229" s="320"/>
      <c r="D229" s="320"/>
      <c r="E229" s="320"/>
      <c r="F229" s="320"/>
      <c r="G229" s="320"/>
      <c r="H229" s="320"/>
      <c r="I229" s="320"/>
      <c r="J229" s="320"/>
      <c r="K229" s="320"/>
      <c r="L229" s="23"/>
      <c r="M229" s="23"/>
      <c r="N229" s="866"/>
      <c r="O229" s="866"/>
      <c r="P229" s="866"/>
      <c r="Q229" s="866"/>
      <c r="R229" s="866"/>
      <c r="S229" s="866"/>
      <c r="T229" s="866"/>
      <c r="U229" s="866"/>
      <c r="V229" s="866"/>
      <c r="W229" s="866"/>
      <c r="Y229" s="866"/>
      <c r="Z229" s="868"/>
      <c r="AA229" s="868"/>
      <c r="AB229" s="866"/>
      <c r="AC229" s="866"/>
      <c r="AD229" s="868"/>
      <c r="AE229" s="868"/>
    </row>
    <row r="230" spans="1:59" ht="15" thickTop="1" thickBot="1" x14ac:dyDescent="0.3">
      <c r="A230" s="319"/>
      <c r="B230" s="319"/>
      <c r="C230" s="320"/>
      <c r="D230" s="320"/>
      <c r="E230" s="320"/>
      <c r="F230" s="320"/>
      <c r="G230" s="320"/>
      <c r="H230" s="320"/>
      <c r="I230" s="320"/>
      <c r="J230" s="320"/>
      <c r="K230" s="452"/>
      <c r="L230" s="191"/>
      <c r="M230" s="191"/>
      <c r="N230" s="866"/>
      <c r="O230" s="866"/>
      <c r="P230" s="866"/>
      <c r="Q230" s="866"/>
      <c r="R230" s="866"/>
      <c r="S230" s="866"/>
      <c r="T230" s="866"/>
      <c r="U230" s="866"/>
      <c r="V230" s="866"/>
      <c r="W230" s="866"/>
      <c r="Y230" s="866"/>
      <c r="Z230" s="868"/>
      <c r="AA230" s="868"/>
      <c r="AB230" s="866"/>
      <c r="AC230" s="866"/>
      <c r="AD230" s="868"/>
      <c r="AE230" s="868"/>
    </row>
    <row r="231" spans="1:59" ht="15" thickTop="1" thickBot="1" x14ac:dyDescent="0.3">
      <c r="A231" s="319"/>
      <c r="B231" s="319"/>
      <c r="C231" s="320"/>
      <c r="D231" s="320"/>
      <c r="E231" s="320"/>
      <c r="F231" s="320"/>
      <c r="G231" s="320"/>
      <c r="H231" s="320"/>
      <c r="I231" s="320"/>
      <c r="J231" s="320"/>
      <c r="K231" s="452"/>
      <c r="L231" s="191"/>
      <c r="M231" s="191"/>
      <c r="N231" s="866"/>
      <c r="O231" s="866"/>
      <c r="P231" s="866"/>
      <c r="Q231" s="866"/>
      <c r="R231" s="866"/>
      <c r="S231" s="866"/>
      <c r="T231" s="866"/>
      <c r="U231" s="866"/>
      <c r="V231" s="866"/>
      <c r="W231" s="866"/>
      <c r="Y231" s="866"/>
      <c r="Z231" s="868"/>
      <c r="AA231" s="868"/>
      <c r="AB231" s="866"/>
      <c r="AC231" s="866"/>
      <c r="AD231" s="868"/>
      <c r="AE231" s="868"/>
    </row>
    <row r="232" spans="1:59" ht="15" thickTop="1" thickBot="1" x14ac:dyDescent="0.3">
      <c r="A232" s="319"/>
      <c r="B232" s="319"/>
      <c r="C232" s="320"/>
      <c r="D232" s="320"/>
      <c r="E232" s="320"/>
      <c r="F232" s="320"/>
      <c r="G232" s="320"/>
      <c r="H232" s="320"/>
      <c r="I232" s="320"/>
      <c r="J232" s="320"/>
      <c r="K232" s="452"/>
      <c r="L232" s="191"/>
      <c r="M232" s="191"/>
      <c r="N232" s="866"/>
      <c r="O232" s="866"/>
      <c r="P232" s="866"/>
      <c r="Q232" s="866"/>
      <c r="R232" s="866"/>
      <c r="S232" s="866"/>
      <c r="T232" s="866"/>
      <c r="U232" s="866"/>
      <c r="V232" s="866"/>
      <c r="W232" s="866"/>
      <c r="Y232" s="866"/>
      <c r="Z232" s="868"/>
      <c r="AA232" s="868"/>
      <c r="AB232" s="866"/>
      <c r="AC232" s="866"/>
      <c r="AD232" s="868"/>
      <c r="AE232" s="868"/>
    </row>
    <row r="233" spans="1:59" ht="14.4" thickTop="1" x14ac:dyDescent="0.25">
      <c r="A233" s="450"/>
      <c r="B233" s="450"/>
      <c r="C233" s="325"/>
      <c r="D233" s="325"/>
      <c r="E233" s="325"/>
      <c r="F233" s="325"/>
      <c r="G233" s="325"/>
      <c r="H233" s="325"/>
      <c r="I233" s="325"/>
      <c r="J233" s="325"/>
      <c r="K233" s="451"/>
      <c r="L233" s="191"/>
      <c r="M233" s="191"/>
      <c r="N233" s="866"/>
      <c r="O233" s="866"/>
      <c r="P233" s="866"/>
      <c r="Q233" s="866"/>
      <c r="R233" s="866"/>
      <c r="S233" s="866"/>
      <c r="T233" s="866"/>
      <c r="U233" s="866"/>
      <c r="V233" s="866"/>
      <c r="W233" s="866"/>
      <c r="Y233" s="866"/>
      <c r="Z233" s="868"/>
      <c r="AA233" s="868"/>
      <c r="AB233" s="866"/>
      <c r="AC233" s="866"/>
      <c r="AD233" s="868"/>
      <c r="AE233" s="868"/>
    </row>
    <row r="234" spans="1:59" ht="26.1" customHeight="1" thickBot="1" x14ac:dyDescent="0.3">
      <c r="A234" s="626" t="s">
        <v>380</v>
      </c>
      <c r="B234" s="453"/>
      <c r="C234" s="328"/>
      <c r="D234" s="328"/>
      <c r="E234" s="328"/>
      <c r="F234" s="328"/>
      <c r="G234" s="328"/>
      <c r="H234" s="328"/>
      <c r="I234" s="328"/>
      <c r="J234" s="328"/>
      <c r="K234" s="443"/>
      <c r="L234" s="23"/>
      <c r="M234" s="23"/>
      <c r="N234" s="866"/>
      <c r="O234" s="866"/>
      <c r="P234" s="866"/>
      <c r="Q234" s="866"/>
      <c r="R234" s="866"/>
      <c r="S234" s="866"/>
      <c r="T234" s="866"/>
      <c r="U234" s="866"/>
      <c r="V234" s="866"/>
      <c r="W234" s="866"/>
      <c r="Y234" s="866"/>
      <c r="Z234" s="868"/>
      <c r="AA234" s="868"/>
      <c r="AB234" s="866"/>
      <c r="AC234" s="866"/>
      <c r="AD234" s="868"/>
      <c r="AE234" s="868"/>
    </row>
    <row r="235" spans="1:59" ht="15" thickTop="1" thickBot="1" x14ac:dyDescent="0.3">
      <c r="A235" s="319" t="s">
        <v>384</v>
      </c>
      <c r="B235" s="319"/>
      <c r="C235" s="320"/>
      <c r="D235" s="320"/>
      <c r="E235" s="320"/>
      <c r="F235" s="320"/>
      <c r="G235" s="320"/>
      <c r="H235" s="309"/>
      <c r="I235" s="321" t="s">
        <v>59</v>
      </c>
      <c r="J235" s="320"/>
      <c r="K235" s="311" t="s">
        <v>52</v>
      </c>
      <c r="L235" s="23"/>
      <c r="M235" s="23"/>
      <c r="N235" s="866"/>
      <c r="O235" s="866"/>
      <c r="P235" s="866"/>
      <c r="Q235" s="866"/>
      <c r="R235" s="866"/>
      <c r="S235" s="866"/>
      <c r="T235" s="866"/>
      <c r="U235" s="866"/>
      <c r="V235" s="866"/>
      <c r="W235" s="866"/>
      <c r="Y235" s="866"/>
      <c r="Z235" s="868"/>
      <c r="AA235" s="868"/>
      <c r="AB235" s="866"/>
      <c r="AC235" s="866"/>
      <c r="AD235" s="868"/>
      <c r="AE235" s="868"/>
    </row>
    <row r="236" spans="1:59" ht="15" hidden="1" thickTop="1" thickBot="1" x14ac:dyDescent="0.3">
      <c r="A236" s="665"/>
      <c r="B236" s="665"/>
      <c r="C236" s="666"/>
      <c r="D236" s="666"/>
      <c r="E236" s="666"/>
      <c r="F236" s="666"/>
      <c r="G236" s="666"/>
      <c r="H236" s="667"/>
      <c r="I236" s="666"/>
      <c r="J236" s="668" t="s">
        <v>56</v>
      </c>
      <c r="K236" s="666"/>
      <c r="L236" s="23"/>
      <c r="M236" s="23"/>
      <c r="N236" s="866"/>
      <c r="O236" s="866"/>
      <c r="P236" s="866"/>
      <c r="Q236" s="866"/>
      <c r="R236" s="866"/>
      <c r="S236" s="866"/>
      <c r="T236" s="866"/>
      <c r="U236" s="866"/>
      <c r="V236" s="866"/>
      <c r="W236" s="866"/>
      <c r="Y236" s="866"/>
      <c r="Z236" s="868"/>
      <c r="AA236" s="868"/>
      <c r="AB236" s="866"/>
      <c r="AC236" s="866"/>
      <c r="AD236" s="868"/>
      <c r="AE236" s="868"/>
    </row>
    <row r="237" spans="1:59" ht="15" hidden="1" thickTop="1" thickBot="1" x14ac:dyDescent="0.3">
      <c r="A237" s="665"/>
      <c r="B237" s="665"/>
      <c r="C237" s="666"/>
      <c r="D237" s="666"/>
      <c r="E237" s="666"/>
      <c r="F237" s="666"/>
      <c r="G237" s="666"/>
      <c r="H237" s="667"/>
      <c r="I237" s="666"/>
      <c r="J237" s="669">
        <v>0</v>
      </c>
      <c r="K237" s="666"/>
      <c r="L237" s="23"/>
      <c r="M237" s="23"/>
      <c r="N237" s="866"/>
      <c r="O237" s="866"/>
      <c r="P237" s="866"/>
      <c r="Q237" s="866"/>
      <c r="R237" s="866"/>
      <c r="S237" s="866"/>
      <c r="T237" s="866"/>
      <c r="U237" s="866"/>
      <c r="V237" s="866"/>
      <c r="W237" s="866"/>
      <c r="Y237" s="866"/>
      <c r="Z237" s="868"/>
      <c r="AA237" s="868"/>
      <c r="AB237" s="866"/>
      <c r="AC237" s="866"/>
      <c r="AD237" s="868"/>
      <c r="AE237" s="868"/>
    </row>
    <row r="238" spans="1:59" ht="15" hidden="1" thickTop="1" thickBot="1" x14ac:dyDescent="0.3">
      <c r="A238" s="665"/>
      <c r="B238" s="665"/>
      <c r="C238" s="666"/>
      <c r="D238" s="666"/>
      <c r="E238" s="666"/>
      <c r="F238" s="666"/>
      <c r="G238" s="666"/>
      <c r="H238" s="667"/>
      <c r="I238" s="666"/>
      <c r="J238" s="669">
        <v>0.08</v>
      </c>
      <c r="K238" s="666"/>
      <c r="L238" s="23"/>
      <c r="M238" s="23"/>
      <c r="N238" s="866"/>
      <c r="O238" s="866"/>
      <c r="P238" s="866"/>
      <c r="Q238" s="866"/>
      <c r="R238" s="866"/>
      <c r="S238" s="866"/>
      <c r="T238" s="866"/>
      <c r="U238" s="866"/>
      <c r="V238" s="866"/>
      <c r="W238" s="866"/>
      <c r="Y238" s="866"/>
      <c r="Z238" s="868"/>
      <c r="AA238" s="868"/>
      <c r="AB238" s="866"/>
      <c r="AC238" s="866"/>
      <c r="AD238" s="868"/>
      <c r="AE238" s="868"/>
    </row>
    <row r="239" spans="1:59" ht="15" hidden="1" thickTop="1" thickBot="1" x14ac:dyDescent="0.3">
      <c r="A239" s="665"/>
      <c r="B239" s="665"/>
      <c r="C239" s="666"/>
      <c r="D239" s="666"/>
      <c r="E239" s="666"/>
      <c r="F239" s="666"/>
      <c r="G239" s="666"/>
      <c r="H239" s="667"/>
      <c r="I239" s="666"/>
      <c r="J239" s="669">
        <v>0.1</v>
      </c>
      <c r="K239" s="666"/>
      <c r="L239" s="23"/>
      <c r="M239" s="23"/>
      <c r="N239" s="866"/>
      <c r="O239" s="866"/>
      <c r="P239" s="866"/>
      <c r="Q239" s="866"/>
      <c r="R239" s="866"/>
      <c r="S239" s="866"/>
      <c r="T239" s="866"/>
      <c r="U239" s="866"/>
      <c r="V239" s="866"/>
      <c r="W239" s="866"/>
      <c r="Y239" s="866"/>
      <c r="Z239" s="868"/>
      <c r="AA239" s="868"/>
      <c r="AB239" s="866"/>
      <c r="AC239" s="866"/>
      <c r="AD239" s="868"/>
      <c r="AE239" s="868"/>
    </row>
    <row r="240" spans="1:59" ht="15" hidden="1" thickTop="1" thickBot="1" x14ac:dyDescent="0.3">
      <c r="A240" s="665"/>
      <c r="B240" s="665"/>
      <c r="C240" s="666"/>
      <c r="D240" s="666"/>
      <c r="E240" s="666"/>
      <c r="F240" s="666"/>
      <c r="G240" s="666"/>
      <c r="H240" s="667"/>
      <c r="I240" s="666"/>
      <c r="J240" s="669">
        <v>0.15</v>
      </c>
      <c r="K240" s="666"/>
      <c r="L240" s="23"/>
      <c r="M240" s="23"/>
      <c r="N240" s="866"/>
      <c r="O240" s="866"/>
      <c r="P240" s="866"/>
      <c r="Q240" s="866"/>
      <c r="R240" s="866"/>
      <c r="S240" s="866"/>
      <c r="T240" s="866"/>
      <c r="U240" s="866"/>
      <c r="V240" s="866"/>
      <c r="W240" s="866"/>
      <c r="Y240" s="866"/>
      <c r="Z240" s="868"/>
      <c r="AA240" s="868"/>
      <c r="AB240" s="866"/>
      <c r="AC240" s="866"/>
      <c r="AD240" s="868"/>
      <c r="AE240" s="868"/>
    </row>
    <row r="241" spans="1:31" ht="15" hidden="1" thickTop="1" thickBot="1" x14ac:dyDescent="0.3">
      <c r="A241" s="665"/>
      <c r="B241" s="665"/>
      <c r="C241" s="666"/>
      <c r="D241" s="666"/>
      <c r="E241" s="666"/>
      <c r="F241" s="666"/>
      <c r="G241" s="666"/>
      <c r="H241" s="667"/>
      <c r="I241" s="666"/>
      <c r="J241" s="669">
        <v>0.2</v>
      </c>
      <c r="K241" s="666"/>
      <c r="L241" s="23"/>
      <c r="M241" s="23"/>
      <c r="N241" s="866"/>
      <c r="O241" s="866"/>
      <c r="P241" s="866"/>
      <c r="Q241" s="866"/>
      <c r="R241" s="866"/>
      <c r="S241" s="866"/>
      <c r="T241" s="866"/>
      <c r="U241" s="866"/>
      <c r="V241" s="866"/>
      <c r="W241" s="866"/>
      <c r="Y241" s="866"/>
      <c r="Z241" s="868"/>
      <c r="AA241" s="868"/>
      <c r="AB241" s="866"/>
      <c r="AC241" s="866"/>
      <c r="AD241" s="868"/>
      <c r="AE241" s="868"/>
    </row>
    <row r="242" spans="1:31" ht="15" hidden="1" thickTop="1" thickBot="1" x14ac:dyDescent="0.3">
      <c r="A242" s="665"/>
      <c r="B242" s="665"/>
      <c r="C242" s="666"/>
      <c r="D242" s="666"/>
      <c r="E242" s="666"/>
      <c r="F242" s="666"/>
      <c r="G242" s="666"/>
      <c r="H242" s="667"/>
      <c r="I242" s="666"/>
      <c r="J242" s="669">
        <v>0.25</v>
      </c>
      <c r="K242" s="666"/>
      <c r="L242" s="23"/>
      <c r="M242" s="23"/>
      <c r="N242" s="866"/>
      <c r="O242" s="866"/>
      <c r="P242" s="866"/>
      <c r="Q242" s="866"/>
      <c r="R242" s="866"/>
      <c r="S242" s="866"/>
      <c r="T242" s="866"/>
      <c r="U242" s="866"/>
      <c r="V242" s="866"/>
      <c r="W242" s="866"/>
      <c r="Y242" s="866"/>
      <c r="Z242" s="868"/>
      <c r="AA242" s="868"/>
      <c r="AB242" s="866"/>
      <c r="AC242" s="866"/>
      <c r="AD242" s="868"/>
      <c r="AE242" s="868"/>
    </row>
    <row r="243" spans="1:31" ht="15" hidden="1" thickTop="1" thickBot="1" x14ac:dyDescent="0.3">
      <c r="A243" s="665"/>
      <c r="B243" s="665"/>
      <c r="C243" s="666"/>
      <c r="D243" s="666"/>
      <c r="E243" s="666"/>
      <c r="F243" s="666"/>
      <c r="G243" s="666"/>
      <c r="H243" s="667"/>
      <c r="I243" s="666"/>
      <c r="J243" s="669">
        <v>0.26</v>
      </c>
      <c r="K243" s="666"/>
      <c r="L243" s="23"/>
      <c r="M243" s="23"/>
      <c r="N243" s="866"/>
      <c r="O243" s="866"/>
      <c r="P243" s="866"/>
      <c r="Q243" s="866"/>
      <c r="R243" s="866"/>
      <c r="S243" s="866"/>
      <c r="T243" s="866"/>
      <c r="U243" s="866"/>
      <c r="V243" s="866"/>
      <c r="W243" s="866"/>
      <c r="Y243" s="866"/>
      <c r="Z243" s="868"/>
      <c r="AA243" s="868"/>
      <c r="AB243" s="866"/>
      <c r="AC243" s="866"/>
      <c r="AD243" s="868"/>
      <c r="AE243" s="868"/>
    </row>
    <row r="244" spans="1:31" ht="15" hidden="1" thickTop="1" thickBot="1" x14ac:dyDescent="0.3">
      <c r="A244" s="665"/>
      <c r="B244" s="665"/>
      <c r="C244" s="666"/>
      <c r="D244" s="666"/>
      <c r="E244" s="666"/>
      <c r="F244" s="666"/>
      <c r="G244" s="666"/>
      <c r="H244" s="667"/>
      <c r="I244" s="666"/>
      <c r="J244" s="669">
        <v>0.3</v>
      </c>
      <c r="K244" s="666"/>
      <c r="L244" s="23"/>
      <c r="M244" s="23"/>
      <c r="N244" s="866"/>
      <c r="O244" s="866"/>
      <c r="P244" s="866"/>
      <c r="Q244" s="866"/>
      <c r="R244" s="866"/>
      <c r="S244" s="866"/>
      <c r="T244" s="866"/>
      <c r="U244" s="866"/>
      <c r="V244" s="866"/>
      <c r="W244" s="866"/>
      <c r="Y244" s="866"/>
      <c r="Z244" s="868"/>
      <c r="AA244" s="868"/>
      <c r="AB244" s="866"/>
      <c r="AC244" s="866"/>
      <c r="AD244" s="868"/>
      <c r="AE244" s="868"/>
    </row>
    <row r="245" spans="1:31" ht="15" hidden="1" thickTop="1" thickBot="1" x14ac:dyDescent="0.3">
      <c r="A245" s="665"/>
      <c r="B245" s="665"/>
      <c r="C245" s="666"/>
      <c r="D245" s="666"/>
      <c r="E245" s="666"/>
      <c r="F245" s="666"/>
      <c r="G245" s="666"/>
      <c r="H245" s="667"/>
      <c r="I245" s="666"/>
      <c r="J245" s="669">
        <v>0.34</v>
      </c>
      <c r="K245" s="666"/>
      <c r="L245" s="23"/>
      <c r="M245" s="23"/>
      <c r="N245" s="866"/>
      <c r="O245" s="866"/>
      <c r="P245" s="866"/>
      <c r="Q245" s="866"/>
      <c r="R245" s="866"/>
      <c r="S245" s="866"/>
      <c r="T245" s="866"/>
      <c r="U245" s="866"/>
      <c r="V245" s="866"/>
      <c r="W245" s="866"/>
      <c r="Y245" s="866"/>
      <c r="Z245" s="868"/>
      <c r="AA245" s="868"/>
      <c r="AB245" s="866"/>
      <c r="AC245" s="866"/>
      <c r="AD245" s="868"/>
      <c r="AE245" s="868"/>
    </row>
    <row r="246" spans="1:31" ht="15" hidden="1" thickTop="1" thickBot="1" x14ac:dyDescent="0.3">
      <c r="A246" s="665"/>
      <c r="B246" s="665"/>
      <c r="C246" s="666"/>
      <c r="D246" s="666"/>
      <c r="E246" s="666"/>
      <c r="F246" s="666"/>
      <c r="G246" s="666"/>
      <c r="H246" s="667"/>
      <c r="I246" s="666"/>
      <c r="J246" s="669">
        <v>0.35</v>
      </c>
      <c r="K246" s="666"/>
      <c r="L246" s="23"/>
      <c r="M246" s="23"/>
      <c r="N246" s="866"/>
      <c r="O246" s="866"/>
      <c r="P246" s="866"/>
      <c r="Q246" s="866"/>
      <c r="R246" s="866"/>
      <c r="S246" s="866"/>
      <c r="T246" s="866"/>
      <c r="U246" s="866"/>
      <c r="V246" s="866"/>
      <c r="W246" s="866"/>
      <c r="Y246" s="866"/>
      <c r="Z246" s="868"/>
      <c r="AA246" s="868"/>
      <c r="AB246" s="866"/>
      <c r="AC246" s="866"/>
      <c r="AD246" s="868"/>
      <c r="AE246" s="868"/>
    </row>
    <row r="247" spans="1:31" ht="15" hidden="1" thickTop="1" thickBot="1" x14ac:dyDescent="0.3">
      <c r="A247" s="665"/>
      <c r="B247" s="665"/>
      <c r="C247" s="666"/>
      <c r="D247" s="666"/>
      <c r="E247" s="666"/>
      <c r="F247" s="666"/>
      <c r="G247" s="666"/>
      <c r="H247" s="667"/>
      <c r="I247" s="666"/>
      <c r="J247" s="669">
        <v>0.4</v>
      </c>
      <c r="K247" s="666"/>
      <c r="L247" s="23"/>
      <c r="M247" s="23"/>
      <c r="N247" s="866"/>
      <c r="O247" s="866"/>
      <c r="P247" s="866"/>
      <c r="Q247" s="866"/>
      <c r="R247" s="866"/>
      <c r="S247" s="866"/>
      <c r="T247" s="866"/>
      <c r="U247" s="866"/>
      <c r="V247" s="866"/>
      <c r="W247" s="866"/>
      <c r="Y247" s="866"/>
      <c r="Z247" s="868"/>
      <c r="AA247" s="868"/>
      <c r="AB247" s="866"/>
      <c r="AC247" s="866"/>
      <c r="AD247" s="868"/>
      <c r="AE247" s="868"/>
    </row>
    <row r="248" spans="1:31" ht="15" hidden="1" thickTop="1" thickBot="1" x14ac:dyDescent="0.3">
      <c r="A248" s="665"/>
      <c r="B248" s="665"/>
      <c r="C248" s="666"/>
      <c r="D248" s="666"/>
      <c r="E248" s="666"/>
      <c r="F248" s="666"/>
      <c r="G248" s="666"/>
      <c r="H248" s="667"/>
      <c r="I248" s="666"/>
      <c r="J248" s="669">
        <v>0.41</v>
      </c>
      <c r="K248" s="666"/>
      <c r="L248" s="23"/>
      <c r="M248" s="23"/>
      <c r="N248" s="866"/>
      <c r="O248" s="866"/>
      <c r="P248" s="866"/>
      <c r="Q248" s="866"/>
      <c r="R248" s="866"/>
      <c r="S248" s="866"/>
      <c r="T248" s="866"/>
      <c r="U248" s="866"/>
      <c r="V248" s="866"/>
      <c r="W248" s="866"/>
      <c r="Y248" s="866"/>
      <c r="Z248" s="868"/>
      <c r="AA248" s="868"/>
      <c r="AB248" s="866"/>
      <c r="AC248" s="866"/>
      <c r="AD248" s="868"/>
      <c r="AE248" s="868"/>
    </row>
    <row r="249" spans="1:31" ht="15" hidden="1" thickTop="1" thickBot="1" x14ac:dyDescent="0.3">
      <c r="A249" s="665"/>
      <c r="B249" s="665"/>
      <c r="C249" s="666"/>
      <c r="D249" s="666"/>
      <c r="E249" s="666"/>
      <c r="F249" s="666"/>
      <c r="G249" s="666"/>
      <c r="H249" s="667"/>
      <c r="I249" s="666"/>
      <c r="J249" s="670">
        <v>0.69499999999999995</v>
      </c>
      <c r="K249" s="666"/>
      <c r="L249" s="23"/>
      <c r="M249" s="23"/>
      <c r="N249" s="866"/>
      <c r="O249" s="866"/>
      <c r="P249" s="866"/>
      <c r="Q249" s="866"/>
      <c r="R249" s="866"/>
      <c r="S249" s="866"/>
      <c r="T249" s="866"/>
      <c r="U249" s="866"/>
      <c r="V249" s="866"/>
      <c r="W249" s="866"/>
      <c r="Y249" s="866"/>
      <c r="Z249" s="868"/>
      <c r="AA249" s="868"/>
      <c r="AB249" s="866"/>
      <c r="AC249" s="866"/>
      <c r="AD249" s="868"/>
      <c r="AE249" s="868"/>
    </row>
    <row r="250" spans="1:31" ht="20.25" customHeight="1" thickTop="1" thickBot="1" x14ac:dyDescent="0.3">
      <c r="A250" s="322" t="s">
        <v>123</v>
      </c>
      <c r="B250" s="322"/>
      <c r="C250" s="322"/>
      <c r="D250" s="322"/>
      <c r="E250" s="322"/>
      <c r="F250" s="322"/>
      <c r="G250" s="322"/>
      <c r="H250" s="323"/>
      <c r="I250" s="322"/>
      <c r="J250" s="324"/>
      <c r="K250" s="320"/>
      <c r="L250" s="23"/>
      <c r="M250" s="23"/>
      <c r="N250" s="866"/>
      <c r="O250" s="866"/>
      <c r="P250" s="866"/>
      <c r="Q250" s="866"/>
      <c r="R250" s="866"/>
      <c r="S250" s="866"/>
      <c r="T250" s="866"/>
      <c r="U250" s="866"/>
      <c r="V250" s="866"/>
      <c r="W250" s="866"/>
      <c r="Y250" s="866"/>
      <c r="Z250" s="868"/>
      <c r="AA250" s="868"/>
      <c r="AB250" s="866"/>
      <c r="AC250" s="866"/>
      <c r="AD250" s="868"/>
      <c r="AE250" s="868"/>
    </row>
    <row r="251" spans="1:31" ht="16.5" customHeight="1" thickTop="1" thickBot="1" x14ac:dyDescent="0.3">
      <c r="A251" s="436"/>
      <c r="B251" s="436"/>
      <c r="C251" s="436"/>
      <c r="D251" s="436"/>
      <c r="E251" s="436"/>
      <c r="F251" s="436"/>
      <c r="G251" s="436"/>
      <c r="H251" s="437"/>
      <c r="I251" s="436"/>
      <c r="J251" s="436"/>
      <c r="K251" s="325"/>
      <c r="L251" s="23"/>
      <c r="M251" s="23"/>
      <c r="N251" s="866"/>
      <c r="O251" s="866"/>
      <c r="P251" s="866"/>
      <c r="Q251" s="866"/>
      <c r="R251" s="866"/>
      <c r="S251" s="866"/>
      <c r="T251" s="866"/>
      <c r="U251" s="866"/>
      <c r="V251" s="866"/>
      <c r="W251" s="866"/>
      <c r="Y251" s="866"/>
      <c r="Z251" s="868"/>
      <c r="AA251" s="868"/>
      <c r="AB251" s="866"/>
      <c r="AC251" s="866"/>
      <c r="AD251" s="868"/>
      <c r="AE251" s="868"/>
    </row>
    <row r="252" spans="1:31" ht="16.5" customHeight="1" thickTop="1" thickBot="1" x14ac:dyDescent="0.3">
      <c r="A252" s="438" t="s">
        <v>382</v>
      </c>
      <c r="B252" s="438"/>
      <c r="C252" s="438"/>
      <c r="D252" s="438"/>
      <c r="E252" s="321" t="s">
        <v>60</v>
      </c>
      <c r="F252" s="438"/>
      <c r="G252" s="438"/>
      <c r="H252" s="439"/>
      <c r="I252" s="438"/>
      <c r="J252" s="438"/>
      <c r="K252" s="311" t="s">
        <v>269</v>
      </c>
      <c r="L252" s="90"/>
      <c r="M252" s="90"/>
      <c r="N252" s="866"/>
      <c r="O252" s="866"/>
      <c r="P252" s="866"/>
      <c r="Q252" s="866"/>
      <c r="R252" s="866"/>
      <c r="S252" s="866"/>
      <c r="T252" s="866"/>
      <c r="U252" s="866"/>
      <c r="V252" s="866"/>
      <c r="W252" s="866"/>
      <c r="Y252" s="866"/>
      <c r="Z252" s="868"/>
      <c r="AA252" s="868"/>
      <c r="AB252" s="866"/>
      <c r="AC252" s="866"/>
      <c r="AD252" s="868"/>
      <c r="AE252" s="868"/>
    </row>
    <row r="253" spans="1:31" ht="16.5" customHeight="1" thickTop="1" x14ac:dyDescent="0.25">
      <c r="A253" s="438" t="s">
        <v>213</v>
      </c>
      <c r="B253" s="438"/>
      <c r="C253" s="438"/>
      <c r="D253" s="438"/>
      <c r="E253" s="438"/>
      <c r="F253" s="438"/>
      <c r="G253" s="438"/>
      <c r="H253" s="439"/>
      <c r="I253" s="438"/>
      <c r="J253" s="438"/>
      <c r="K253" s="320"/>
      <c r="L253" s="23"/>
      <c r="M253" s="23"/>
      <c r="N253" s="866"/>
      <c r="O253" s="866"/>
      <c r="P253" s="866"/>
      <c r="Q253" s="866"/>
      <c r="R253" s="866"/>
      <c r="S253" s="866"/>
      <c r="T253" s="866"/>
      <c r="U253" s="866"/>
      <c r="V253" s="866"/>
      <c r="W253" s="866"/>
      <c r="Y253" s="866"/>
      <c r="Z253" s="868"/>
      <c r="AA253" s="868"/>
      <c r="AB253" s="866"/>
      <c r="AC253" s="866"/>
      <c r="AD253" s="868"/>
      <c r="AE253" s="868"/>
    </row>
    <row r="254" spans="1:31" ht="16.5" customHeight="1" x14ac:dyDescent="0.25">
      <c r="A254" s="438" t="s">
        <v>439</v>
      </c>
      <c r="B254" s="438"/>
      <c r="C254" s="438"/>
      <c r="D254" s="438"/>
      <c r="E254" s="438"/>
      <c r="F254" s="438"/>
      <c r="G254" s="438"/>
      <c r="H254" s="439"/>
      <c r="I254" s="438"/>
      <c r="J254" s="438"/>
      <c r="K254" s="320"/>
      <c r="L254" s="23"/>
      <c r="M254" s="23"/>
      <c r="N254" s="866"/>
      <c r="O254" s="866"/>
      <c r="P254" s="866"/>
      <c r="Q254" s="866"/>
      <c r="R254" s="866"/>
      <c r="S254" s="866"/>
      <c r="T254" s="866"/>
      <c r="U254" s="866"/>
      <c r="V254" s="866"/>
      <c r="W254" s="866"/>
      <c r="Y254" s="866"/>
      <c r="Z254" s="868"/>
      <c r="AA254" s="868"/>
      <c r="AB254" s="866"/>
      <c r="AC254" s="866"/>
      <c r="AD254" s="868"/>
      <c r="AE254" s="868"/>
    </row>
    <row r="255" spans="1:31" ht="16.5" customHeight="1" x14ac:dyDescent="0.25">
      <c r="A255" s="438" t="s">
        <v>440</v>
      </c>
      <c r="B255" s="438"/>
      <c r="C255" s="438"/>
      <c r="D255" s="438"/>
      <c r="E255" s="438"/>
      <c r="F255" s="438"/>
      <c r="G255" s="438"/>
      <c r="H255" s="439"/>
      <c r="I255" s="438"/>
      <c r="J255" s="438"/>
      <c r="K255" s="320"/>
      <c r="L255" s="23"/>
      <c r="M255" s="23"/>
      <c r="N255" s="866"/>
      <c r="O255" s="866"/>
      <c r="P255" s="866"/>
      <c r="Q255" s="866"/>
      <c r="R255" s="866"/>
      <c r="S255" s="866"/>
      <c r="T255" s="866"/>
      <c r="U255" s="866"/>
      <c r="V255" s="866"/>
      <c r="W255" s="866"/>
      <c r="Y255" s="866"/>
      <c r="Z255" s="868"/>
      <c r="AA255" s="868"/>
      <c r="AB255" s="866"/>
      <c r="AC255" s="866"/>
      <c r="AD255" s="868"/>
      <c r="AE255" s="868"/>
    </row>
    <row r="256" spans="1:31" ht="16.5" customHeight="1" x14ac:dyDescent="0.25">
      <c r="A256" s="438" t="s">
        <v>153</v>
      </c>
      <c r="B256" s="438"/>
      <c r="C256" s="438"/>
      <c r="D256" s="438"/>
      <c r="E256" s="438"/>
      <c r="F256" s="438"/>
      <c r="G256" s="438"/>
      <c r="H256" s="439"/>
      <c r="I256" s="438"/>
      <c r="J256" s="438"/>
      <c r="K256" s="320"/>
      <c r="L256" s="23"/>
      <c r="M256" s="23"/>
      <c r="N256" s="866"/>
      <c r="O256" s="866"/>
      <c r="P256" s="866"/>
      <c r="Q256" s="866"/>
      <c r="R256" s="866"/>
      <c r="S256" s="866"/>
      <c r="T256" s="866"/>
      <c r="U256" s="866"/>
      <c r="V256" s="866"/>
      <c r="W256" s="866"/>
      <c r="Y256" s="866"/>
      <c r="Z256" s="868"/>
      <c r="AA256" s="868"/>
      <c r="AB256" s="866"/>
      <c r="AC256" s="866"/>
      <c r="AD256" s="868"/>
      <c r="AE256" s="868"/>
    </row>
    <row r="257" spans="1:31" ht="16.5" customHeight="1" thickBot="1" x14ac:dyDescent="0.3">
      <c r="A257" s="436"/>
      <c r="B257" s="436"/>
      <c r="C257" s="436"/>
      <c r="D257" s="436"/>
      <c r="E257" s="436"/>
      <c r="F257" s="436"/>
      <c r="G257" s="436"/>
      <c r="H257" s="437"/>
      <c r="I257" s="436"/>
      <c r="J257" s="436"/>
      <c r="K257" s="325"/>
      <c r="L257" s="23"/>
      <c r="M257" s="23"/>
      <c r="N257" s="866"/>
      <c r="O257" s="866"/>
      <c r="P257" s="866"/>
      <c r="Q257" s="866"/>
      <c r="R257" s="866"/>
      <c r="S257" s="866"/>
      <c r="T257" s="866"/>
      <c r="U257" s="866"/>
      <c r="V257" s="866"/>
      <c r="W257" s="866"/>
      <c r="Y257" s="866"/>
      <c r="Z257" s="868"/>
      <c r="AA257" s="868"/>
      <c r="AB257" s="866"/>
      <c r="AC257" s="866"/>
      <c r="AD257" s="868"/>
      <c r="AE257" s="868"/>
    </row>
    <row r="258" spans="1:31" ht="16.5" customHeight="1" thickTop="1" thickBot="1" x14ac:dyDescent="0.3">
      <c r="A258" s="438" t="s">
        <v>383</v>
      </c>
      <c r="B258" s="438"/>
      <c r="C258" s="438"/>
      <c r="D258" s="438"/>
      <c r="E258" s="438"/>
      <c r="F258" s="438"/>
      <c r="G258" s="321" t="s">
        <v>60</v>
      </c>
      <c r="H258" s="439"/>
      <c r="I258" s="438"/>
      <c r="J258" s="438"/>
      <c r="K258" s="440" t="s">
        <v>149</v>
      </c>
      <c r="L258" s="187"/>
      <c r="M258" s="187"/>
      <c r="N258" s="866"/>
      <c r="O258" s="866"/>
      <c r="P258" s="866"/>
      <c r="Q258" s="866"/>
      <c r="R258" s="866"/>
      <c r="S258" s="866"/>
      <c r="T258" s="866"/>
      <c r="U258" s="866"/>
      <c r="V258" s="866"/>
      <c r="W258" s="866"/>
      <c r="Y258" s="866"/>
      <c r="Z258" s="868"/>
      <c r="AA258" s="868"/>
      <c r="AB258" s="866"/>
      <c r="AC258" s="866"/>
      <c r="AD258" s="868"/>
      <c r="AE258" s="868"/>
    </row>
    <row r="259" spans="1:31" ht="16.5" customHeight="1" thickTop="1" x14ac:dyDescent="0.25">
      <c r="A259" s="438" t="s">
        <v>437</v>
      </c>
      <c r="B259" s="438"/>
      <c r="C259" s="438"/>
      <c r="D259" s="438"/>
      <c r="E259" s="438"/>
      <c r="F259" s="438"/>
      <c r="G259" s="438"/>
      <c r="H259" s="439"/>
      <c r="I259" s="438"/>
      <c r="J259" s="438"/>
      <c r="K259" s="441" t="s">
        <v>150</v>
      </c>
      <c r="L259" s="187"/>
      <c r="M259" s="187"/>
      <c r="N259" s="866"/>
      <c r="O259" s="866"/>
      <c r="P259" s="866"/>
      <c r="Q259" s="866"/>
      <c r="R259" s="866"/>
      <c r="S259" s="866"/>
      <c r="T259" s="866"/>
      <c r="U259" s="866"/>
      <c r="V259" s="866"/>
      <c r="W259" s="866"/>
      <c r="Y259" s="866"/>
      <c r="Z259" s="868"/>
      <c r="AA259" s="868"/>
      <c r="AB259" s="866"/>
      <c r="AC259" s="866"/>
      <c r="AD259" s="868"/>
      <c r="AE259" s="868"/>
    </row>
    <row r="260" spans="1:31" ht="16.5" customHeight="1" x14ac:dyDescent="0.25">
      <c r="A260" s="438" t="s">
        <v>146</v>
      </c>
      <c r="B260" s="438"/>
      <c r="C260" s="438"/>
      <c r="D260" s="438"/>
      <c r="E260" s="438"/>
      <c r="F260" s="438"/>
      <c r="G260" s="438"/>
      <c r="H260" s="439"/>
      <c r="I260" s="438"/>
      <c r="J260" s="438"/>
      <c r="K260" s="320"/>
      <c r="L260" s="23"/>
      <c r="M260" s="23"/>
      <c r="N260" s="866"/>
      <c r="O260" s="866"/>
      <c r="P260" s="866"/>
      <c r="Q260" s="866"/>
      <c r="R260" s="866"/>
      <c r="S260" s="866"/>
      <c r="T260" s="866"/>
      <c r="U260" s="866"/>
      <c r="V260" s="866"/>
      <c r="W260" s="866"/>
      <c r="Y260" s="866"/>
      <c r="Z260" s="868"/>
      <c r="AA260" s="868"/>
      <c r="AB260" s="866"/>
      <c r="AC260" s="866"/>
      <c r="AD260" s="868"/>
      <c r="AE260" s="868"/>
    </row>
    <row r="261" spans="1:31" ht="16.5" customHeight="1" x14ac:dyDescent="0.25">
      <c r="A261" s="438" t="s">
        <v>435</v>
      </c>
      <c r="B261" s="438"/>
      <c r="C261" s="438"/>
      <c r="D261" s="438"/>
      <c r="E261" s="438"/>
      <c r="F261" s="438"/>
      <c r="G261" s="438"/>
      <c r="H261" s="439"/>
      <c r="I261" s="438"/>
      <c r="J261" s="438"/>
      <c r="K261" s="320"/>
      <c r="L261" s="23"/>
      <c r="M261" s="23"/>
      <c r="N261" s="866"/>
      <c r="O261" s="866"/>
      <c r="P261" s="866"/>
      <c r="Q261" s="866"/>
      <c r="R261" s="866"/>
      <c r="S261" s="866"/>
      <c r="T261" s="866"/>
      <c r="U261" s="866"/>
      <c r="V261" s="866"/>
      <c r="W261" s="866"/>
      <c r="Y261" s="866"/>
      <c r="Z261" s="868"/>
      <c r="AA261" s="868"/>
      <c r="AB261" s="866"/>
      <c r="AC261" s="866"/>
      <c r="AD261" s="868"/>
      <c r="AE261" s="868"/>
    </row>
    <row r="262" spans="1:31" ht="16.5" customHeight="1" x14ac:dyDescent="0.25">
      <c r="A262" s="438" t="s">
        <v>436</v>
      </c>
      <c r="B262" s="438"/>
      <c r="C262" s="438"/>
      <c r="D262" s="438"/>
      <c r="E262" s="438"/>
      <c r="F262" s="438"/>
      <c r="G262" s="438"/>
      <c r="H262" s="439"/>
      <c r="I262" s="438"/>
      <c r="J262" s="438"/>
      <c r="K262" s="320"/>
      <c r="L262" s="23"/>
      <c r="M262" s="23"/>
      <c r="N262" s="866"/>
      <c r="O262" s="866"/>
      <c r="P262" s="866"/>
      <c r="Q262" s="866"/>
      <c r="R262" s="866"/>
      <c r="S262" s="866"/>
      <c r="T262" s="866"/>
      <c r="U262" s="866"/>
      <c r="V262" s="866"/>
      <c r="W262" s="866"/>
      <c r="Y262" s="866"/>
      <c r="Z262" s="868"/>
      <c r="AA262" s="868"/>
      <c r="AB262" s="866"/>
      <c r="AC262" s="866"/>
      <c r="AD262" s="868"/>
      <c r="AE262" s="868"/>
    </row>
    <row r="263" spans="1:31" ht="16.5" customHeight="1" x14ac:dyDescent="0.25">
      <c r="A263" s="436"/>
      <c r="B263" s="436"/>
      <c r="C263" s="436"/>
      <c r="D263" s="436"/>
      <c r="E263" s="436"/>
      <c r="F263" s="436"/>
      <c r="G263" s="436"/>
      <c r="H263" s="437"/>
      <c r="I263" s="436"/>
      <c r="J263" s="436"/>
      <c r="K263" s="325"/>
      <c r="L263" s="23"/>
      <c r="M263" s="23"/>
      <c r="N263" s="866"/>
      <c r="O263" s="866"/>
      <c r="P263" s="866"/>
      <c r="Q263" s="866"/>
      <c r="R263" s="866"/>
      <c r="S263" s="866"/>
      <c r="T263" s="866"/>
      <c r="U263" s="866"/>
      <c r="V263" s="866"/>
      <c r="W263" s="866"/>
      <c r="Y263" s="866"/>
      <c r="Z263" s="868"/>
      <c r="AA263" s="868"/>
      <c r="AB263" s="866"/>
      <c r="AC263" s="866"/>
      <c r="AD263" s="868"/>
      <c r="AE263" s="868"/>
    </row>
    <row r="264" spans="1:31" x14ac:dyDescent="0.25">
      <c r="A264" s="860"/>
      <c r="B264" s="860"/>
      <c r="C264" s="861"/>
      <c r="D264" s="861"/>
      <c r="E264" s="861"/>
      <c r="F264" s="861"/>
      <c r="G264" s="861"/>
      <c r="H264" s="861"/>
      <c r="I264" s="861"/>
      <c r="J264" s="861"/>
      <c r="K264" s="861"/>
      <c r="L264" s="57"/>
      <c r="M264" s="57"/>
      <c r="N264" s="246"/>
      <c r="O264" s="246"/>
      <c r="P264" s="866"/>
      <c r="Q264" s="866"/>
      <c r="R264" s="866"/>
      <c r="S264" s="866"/>
      <c r="T264" s="866"/>
      <c r="U264" s="866"/>
      <c r="V264" s="866"/>
      <c r="W264" s="866"/>
      <c r="Y264" s="866"/>
      <c r="Z264" s="868"/>
      <c r="AA264" s="868"/>
      <c r="AB264" s="866"/>
      <c r="AC264" s="866"/>
      <c r="AD264" s="868"/>
      <c r="AE264" s="868"/>
    </row>
    <row r="265" spans="1:31" ht="14.4" x14ac:dyDescent="0.25">
      <c r="A265" s="897" t="s">
        <v>445</v>
      </c>
      <c r="B265" s="883"/>
      <c r="C265" s="884"/>
      <c r="D265" s="884"/>
      <c r="E265" s="884"/>
      <c r="F265" s="884"/>
      <c r="G265" s="884"/>
      <c r="H265" s="884"/>
      <c r="I265" s="884"/>
      <c r="J265" s="884"/>
      <c r="K265" s="884"/>
      <c r="L265" s="57"/>
      <c r="M265" s="57"/>
      <c r="N265" s="246"/>
      <c r="O265" s="246"/>
      <c r="P265" s="866"/>
      <c r="Q265" s="866"/>
      <c r="R265" s="866"/>
      <c r="S265" s="866"/>
      <c r="T265" s="866"/>
      <c r="U265" s="866"/>
      <c r="V265" s="866"/>
      <c r="W265" s="866"/>
      <c r="Y265" s="866"/>
      <c r="Z265" s="868"/>
      <c r="AA265" s="868"/>
      <c r="AB265" s="866"/>
      <c r="AC265" s="866"/>
      <c r="AD265" s="868"/>
      <c r="AE265" s="868"/>
    </row>
    <row r="266" spans="1:31" ht="14.4" thickBot="1" x14ac:dyDescent="0.3">
      <c r="A266" s="857"/>
      <c r="B266" s="858"/>
      <c r="C266" s="859"/>
      <c r="D266" s="859"/>
      <c r="E266" s="859"/>
      <c r="F266" s="859"/>
      <c r="G266" s="859"/>
      <c r="H266" s="859"/>
      <c r="I266" s="859"/>
      <c r="J266" s="859"/>
      <c r="K266" s="859"/>
      <c r="L266" s="57"/>
      <c r="M266" s="57"/>
      <c r="N266" s="246"/>
      <c r="O266" s="246"/>
      <c r="P266" s="866"/>
      <c r="Q266" s="866"/>
      <c r="R266" s="866"/>
      <c r="S266" s="866"/>
      <c r="T266" s="866"/>
      <c r="U266" s="866"/>
      <c r="V266" s="866"/>
      <c r="W266" s="866"/>
      <c r="Y266" s="866"/>
      <c r="Z266" s="868"/>
      <c r="AA266" s="868"/>
      <c r="AB266" s="866"/>
      <c r="AC266" s="866"/>
      <c r="AD266" s="868"/>
      <c r="AE266" s="868"/>
    </row>
    <row r="267" spans="1:31" x14ac:dyDescent="0.25">
      <c r="A267" s="453"/>
      <c r="B267" s="328"/>
      <c r="C267" s="328"/>
      <c r="D267" s="328"/>
      <c r="E267" s="328"/>
      <c r="F267" s="328"/>
      <c r="G267" s="328"/>
      <c r="H267" s="328"/>
      <c r="I267" s="328"/>
      <c r="J267" s="328"/>
      <c r="K267" s="328"/>
      <c r="N267" s="326"/>
      <c r="O267" s="326"/>
      <c r="P267" s="866"/>
      <c r="Q267" s="866"/>
      <c r="R267" s="866"/>
      <c r="S267" s="866"/>
      <c r="T267" s="866"/>
      <c r="U267" s="866"/>
      <c r="V267" s="866"/>
      <c r="W267" s="866"/>
      <c r="Y267" s="866"/>
      <c r="Z267" s="868"/>
      <c r="AA267" s="868"/>
      <c r="AB267" s="866"/>
      <c r="AC267" s="866"/>
      <c r="AD267" s="868"/>
      <c r="AE267" s="868"/>
    </row>
    <row r="268" spans="1:31" hidden="1" x14ac:dyDescent="0.25">
      <c r="A268" s="477"/>
      <c r="B268" s="405"/>
      <c r="C268" s="866"/>
      <c r="D268" s="866"/>
      <c r="E268" s="866"/>
      <c r="F268" s="866"/>
      <c r="G268" s="866"/>
      <c r="H268" s="866"/>
      <c r="I268" s="866"/>
      <c r="J268" s="866"/>
      <c r="K268" s="866"/>
      <c r="N268" s="326"/>
      <c r="O268" s="326"/>
      <c r="P268" s="866"/>
      <c r="Q268" s="866"/>
      <c r="R268" s="866"/>
      <c r="S268" s="866"/>
      <c r="T268" s="866"/>
      <c r="U268" s="866"/>
      <c r="V268" s="866"/>
      <c r="W268" s="866"/>
      <c r="Y268" s="866"/>
      <c r="Z268" s="868"/>
      <c r="AA268" s="868"/>
      <c r="AB268" s="866"/>
      <c r="AC268" s="866"/>
      <c r="AD268" s="868"/>
      <c r="AE268" s="868"/>
    </row>
    <row r="269" spans="1:31" hidden="1" x14ac:dyDescent="0.25">
      <c r="A269" s="539"/>
      <c r="B269" s="539"/>
      <c r="C269" s="561"/>
      <c r="D269" s="561"/>
      <c r="E269" s="561"/>
      <c r="F269" s="561"/>
      <c r="G269" s="561"/>
      <c r="H269" s="561"/>
      <c r="I269" s="561"/>
      <c r="J269" s="561"/>
      <c r="K269" s="561"/>
      <c r="N269" s="326"/>
      <c r="O269" s="326"/>
      <c r="P269" s="866"/>
      <c r="Q269" s="866"/>
      <c r="R269" s="866"/>
      <c r="S269" s="866"/>
      <c r="T269" s="866"/>
      <c r="U269" s="866"/>
      <c r="V269" s="866"/>
      <c r="W269" s="866"/>
      <c r="Y269" s="866"/>
      <c r="Z269" s="868"/>
      <c r="AA269" s="868"/>
      <c r="AB269" s="866"/>
      <c r="AC269" s="866"/>
      <c r="AD269" s="868"/>
      <c r="AE269" s="868"/>
    </row>
    <row r="270" spans="1:31" hidden="1" x14ac:dyDescent="0.25">
      <c r="A270" s="686"/>
      <c r="B270" s="687"/>
      <c r="C270" s="561"/>
      <c r="D270" s="688" t="s">
        <v>64</v>
      </c>
      <c r="E270" s="561"/>
      <c r="F270" s="561"/>
      <c r="G270" s="561"/>
      <c r="H270" s="561"/>
      <c r="I270" s="671"/>
      <c r="J270" s="561"/>
      <c r="K270" s="671"/>
      <c r="L270" s="201"/>
      <c r="M270" s="201"/>
      <c r="N270" s="326"/>
      <c r="O270" s="326"/>
      <c r="P270" s="866"/>
      <c r="Q270" s="866"/>
      <c r="R270" s="866"/>
      <c r="S270" s="866"/>
      <c r="T270" s="866"/>
      <c r="U270" s="866"/>
      <c r="V270" s="866"/>
      <c r="W270" s="866"/>
      <c r="Y270" s="866"/>
      <c r="Z270" s="868"/>
      <c r="AA270" s="868"/>
      <c r="AB270" s="866"/>
      <c r="AC270" s="866"/>
      <c r="AD270" s="868"/>
      <c r="AE270" s="868"/>
    </row>
    <row r="271" spans="1:31" hidden="1" x14ac:dyDescent="0.25">
      <c r="A271" s="689"/>
      <c r="B271" s="690"/>
      <c r="C271" s="561"/>
      <c r="D271" s="691">
        <v>0</v>
      </c>
      <c r="E271" s="561"/>
      <c r="F271" s="561"/>
      <c r="G271" s="561"/>
      <c r="H271" s="561"/>
      <c r="I271" s="561"/>
      <c r="J271" s="561"/>
      <c r="K271" s="561"/>
      <c r="N271" s="326"/>
      <c r="O271" s="326"/>
      <c r="P271" s="866"/>
      <c r="Q271" s="866"/>
      <c r="R271" s="866"/>
      <c r="S271" s="866"/>
      <c r="T271" s="866"/>
      <c r="U271" s="866"/>
      <c r="V271" s="866"/>
      <c r="W271" s="866"/>
      <c r="Y271" s="866"/>
      <c r="Z271" s="868"/>
      <c r="AA271" s="868"/>
      <c r="AB271" s="866"/>
      <c r="AC271" s="866"/>
      <c r="AD271" s="868"/>
      <c r="AE271" s="868"/>
    </row>
    <row r="272" spans="1:31" hidden="1" x14ac:dyDescent="0.25">
      <c r="A272" s="692"/>
      <c r="B272" s="693"/>
      <c r="C272" s="561"/>
      <c r="D272" s="694">
        <v>25000</v>
      </c>
      <c r="E272" s="561"/>
      <c r="F272" s="561"/>
      <c r="G272" s="561"/>
      <c r="H272" s="561"/>
      <c r="I272" s="561"/>
      <c r="J272" s="561"/>
      <c r="K272" s="561"/>
      <c r="N272" s="326"/>
      <c r="O272" s="326"/>
      <c r="P272" s="866"/>
      <c r="Q272" s="866"/>
      <c r="R272" s="866"/>
      <c r="S272" s="866"/>
      <c r="T272" s="866"/>
      <c r="U272" s="866"/>
      <c r="V272" s="866"/>
      <c r="W272" s="866"/>
      <c r="Y272" s="866"/>
      <c r="Z272" s="868"/>
      <c r="AA272" s="868"/>
      <c r="AB272" s="866"/>
      <c r="AC272" s="866"/>
      <c r="AD272" s="868"/>
      <c r="AE272" s="868"/>
    </row>
    <row r="273" spans="1:31" hidden="1" x14ac:dyDescent="0.25">
      <c r="A273" s="561"/>
      <c r="B273" s="561"/>
      <c r="C273" s="561"/>
      <c r="D273" s="694">
        <v>50000</v>
      </c>
      <c r="E273" s="539"/>
      <c r="F273" s="539"/>
      <c r="G273" s="539"/>
      <c r="H273" s="561"/>
      <c r="I273" s="561"/>
      <c r="J273" s="561"/>
      <c r="K273" s="561"/>
      <c r="N273" s="326"/>
      <c r="O273" s="326"/>
      <c r="P273" s="866"/>
      <c r="Q273" s="866"/>
      <c r="R273" s="866"/>
      <c r="S273" s="866"/>
      <c r="T273" s="866"/>
      <c r="U273" s="866"/>
      <c r="V273" s="866"/>
      <c r="W273" s="866"/>
      <c r="Y273" s="866"/>
      <c r="Z273" s="868"/>
      <c r="AA273" s="868"/>
      <c r="AB273" s="866"/>
      <c r="AC273" s="866"/>
      <c r="AD273" s="868"/>
      <c r="AE273" s="868"/>
    </row>
    <row r="274" spans="1:31" hidden="1" x14ac:dyDescent="0.25">
      <c r="A274" s="674" t="s">
        <v>63</v>
      </c>
      <c r="B274" s="561"/>
      <c r="C274" s="561"/>
      <c r="D274" s="694">
        <v>75000</v>
      </c>
      <c r="E274" s="539"/>
      <c r="F274" s="539"/>
      <c r="G274" s="539"/>
      <c r="H274" s="561"/>
      <c r="I274" s="561"/>
      <c r="J274" s="561"/>
      <c r="K274" s="561"/>
      <c r="N274" s="326"/>
      <c r="O274" s="326"/>
      <c r="P274" s="866"/>
      <c r="Q274" s="866"/>
      <c r="R274" s="866"/>
      <c r="S274" s="866"/>
      <c r="T274" s="866"/>
      <c r="U274" s="866"/>
      <c r="V274" s="866"/>
      <c r="W274" s="866"/>
      <c r="Y274" s="866"/>
      <c r="Z274" s="868"/>
      <c r="AA274" s="868"/>
      <c r="AB274" s="866"/>
      <c r="AC274" s="866"/>
      <c r="AD274" s="868"/>
      <c r="AE274" s="868"/>
    </row>
    <row r="275" spans="1:31" hidden="1" x14ac:dyDescent="0.25">
      <c r="A275" s="676" t="s">
        <v>59</v>
      </c>
      <c r="B275" s="561"/>
      <c r="C275" s="561"/>
      <c r="D275" s="694">
        <v>100000</v>
      </c>
      <c r="E275" s="539"/>
      <c r="F275" s="539"/>
      <c r="G275" s="539"/>
      <c r="H275" s="561"/>
      <c r="I275" s="561"/>
      <c r="J275" s="561"/>
      <c r="K275" s="561"/>
      <c r="N275" s="326"/>
      <c r="O275" s="326"/>
      <c r="P275" s="866"/>
      <c r="Q275" s="866"/>
      <c r="R275" s="866"/>
      <c r="S275" s="866"/>
      <c r="T275" s="866"/>
      <c r="U275" s="866"/>
      <c r="V275" s="866"/>
      <c r="W275" s="866"/>
      <c r="Y275" s="866"/>
      <c r="Z275" s="868"/>
      <c r="AA275" s="868"/>
      <c r="AB275" s="866"/>
      <c r="AC275" s="866"/>
      <c r="AD275" s="868"/>
      <c r="AE275" s="868"/>
    </row>
    <row r="276" spans="1:31" hidden="1" x14ac:dyDescent="0.25">
      <c r="A276" s="676" t="s">
        <v>60</v>
      </c>
      <c r="B276" s="561"/>
      <c r="C276" s="561"/>
      <c r="D276" s="694">
        <v>125000</v>
      </c>
      <c r="E276" s="539"/>
      <c r="F276" s="539"/>
      <c r="G276" s="539"/>
      <c r="H276" s="561"/>
      <c r="I276" s="561"/>
      <c r="J276" s="561"/>
      <c r="K276" s="561"/>
      <c r="N276" s="326"/>
      <c r="O276" s="326"/>
      <c r="P276" s="866"/>
      <c r="Q276" s="866"/>
      <c r="R276" s="866"/>
      <c r="S276" s="866"/>
      <c r="T276" s="866"/>
      <c r="U276" s="866"/>
      <c r="V276" s="866"/>
      <c r="W276" s="866"/>
      <c r="Y276" s="866"/>
      <c r="Z276" s="868"/>
      <c r="AA276" s="868"/>
      <c r="AB276" s="866"/>
      <c r="AC276" s="866"/>
      <c r="AD276" s="868"/>
      <c r="AE276" s="868"/>
    </row>
    <row r="277" spans="1:31" hidden="1" x14ac:dyDescent="0.25">
      <c r="A277" s="561"/>
      <c r="B277" s="561"/>
      <c r="C277" s="561"/>
      <c r="D277" s="694">
        <v>150000</v>
      </c>
      <c r="E277" s="539"/>
      <c r="F277" s="539"/>
      <c r="G277" s="539"/>
      <c r="H277" s="561"/>
      <c r="I277" s="561"/>
      <c r="J277" s="561"/>
      <c r="K277" s="561"/>
      <c r="N277" s="326"/>
      <c r="O277" s="326"/>
      <c r="P277" s="866"/>
      <c r="Q277" s="866"/>
      <c r="R277" s="866"/>
      <c r="S277" s="866"/>
      <c r="T277" s="866"/>
      <c r="U277" s="866"/>
      <c r="V277" s="866"/>
      <c r="W277" s="866"/>
      <c r="Y277" s="866"/>
      <c r="Z277" s="868"/>
      <c r="AA277" s="868"/>
      <c r="AB277" s="866"/>
      <c r="AC277" s="866"/>
      <c r="AD277" s="868"/>
      <c r="AE277" s="868"/>
    </row>
    <row r="278" spans="1:31" hidden="1" x14ac:dyDescent="0.25">
      <c r="A278" s="561"/>
      <c r="B278" s="561"/>
      <c r="C278" s="561"/>
      <c r="D278" s="694">
        <v>175000</v>
      </c>
      <c r="E278" s="539"/>
      <c r="F278" s="539"/>
      <c r="G278" s="539"/>
      <c r="H278" s="561"/>
      <c r="I278" s="561"/>
      <c r="J278" s="561"/>
      <c r="K278" s="561"/>
      <c r="N278" s="326"/>
      <c r="O278" s="326"/>
      <c r="P278" s="866"/>
      <c r="Q278" s="866"/>
      <c r="R278" s="866"/>
      <c r="S278" s="866"/>
      <c r="T278" s="866"/>
      <c r="U278" s="866"/>
      <c r="V278" s="866"/>
      <c r="W278" s="866"/>
      <c r="Y278" s="866"/>
      <c r="Z278" s="868"/>
      <c r="AA278" s="868"/>
      <c r="AB278" s="866"/>
      <c r="AC278" s="866"/>
      <c r="AD278" s="868"/>
      <c r="AE278" s="868"/>
    </row>
    <row r="279" spans="1:31" hidden="1" x14ac:dyDescent="0.25">
      <c r="A279" s="561"/>
      <c r="B279" s="561"/>
      <c r="C279" s="561"/>
      <c r="D279" s="694">
        <v>200000</v>
      </c>
      <c r="E279" s="539"/>
      <c r="F279" s="539"/>
      <c r="G279" s="539"/>
      <c r="H279" s="561"/>
      <c r="I279" s="561"/>
      <c r="J279" s="561"/>
      <c r="K279" s="561"/>
      <c r="N279" s="326"/>
      <c r="O279" s="326"/>
      <c r="P279" s="866"/>
      <c r="Q279" s="866"/>
      <c r="R279" s="866"/>
      <c r="S279" s="866"/>
      <c r="T279" s="866"/>
      <c r="U279" s="866"/>
      <c r="V279" s="866"/>
      <c r="W279" s="866"/>
      <c r="Y279" s="866"/>
      <c r="Z279" s="868"/>
      <c r="AA279" s="868"/>
      <c r="AB279" s="866"/>
      <c r="AC279" s="866"/>
      <c r="AD279" s="868"/>
      <c r="AE279" s="868"/>
    </row>
    <row r="280" spans="1:31" hidden="1" x14ac:dyDescent="0.25">
      <c r="A280" s="561"/>
      <c r="B280" s="561"/>
      <c r="C280" s="561"/>
      <c r="D280" s="694">
        <v>225000</v>
      </c>
      <c r="E280" s="539"/>
      <c r="F280" s="539"/>
      <c r="G280" s="539"/>
      <c r="H280" s="561"/>
      <c r="I280" s="561"/>
      <c r="J280" s="561"/>
      <c r="K280" s="561"/>
      <c r="N280" s="326"/>
      <c r="O280" s="326"/>
      <c r="P280" s="866"/>
      <c r="Q280" s="866"/>
      <c r="R280" s="866"/>
      <c r="S280" s="866"/>
      <c r="T280" s="866"/>
      <c r="U280" s="866"/>
      <c r="V280" s="866"/>
      <c r="W280" s="866"/>
      <c r="Y280" s="866"/>
      <c r="Z280" s="868"/>
      <c r="AA280" s="868"/>
      <c r="AB280" s="866"/>
      <c r="AC280" s="866"/>
      <c r="AD280" s="868"/>
      <c r="AE280" s="868"/>
    </row>
    <row r="281" spans="1:31" hidden="1" x14ac:dyDescent="0.25">
      <c r="A281" s="561"/>
      <c r="B281" s="561"/>
      <c r="C281" s="561"/>
      <c r="D281" s="694">
        <v>250000</v>
      </c>
      <c r="E281" s="539"/>
      <c r="F281" s="539"/>
      <c r="G281" s="539"/>
      <c r="H281" s="561"/>
      <c r="I281" s="561"/>
      <c r="J281" s="561"/>
      <c r="K281" s="561"/>
      <c r="N281" s="326"/>
      <c r="O281" s="326"/>
      <c r="P281" s="866"/>
      <c r="Q281" s="866"/>
      <c r="R281" s="866"/>
      <c r="S281" s="866"/>
      <c r="T281" s="866"/>
      <c r="U281" s="866"/>
      <c r="V281" s="866"/>
      <c r="W281" s="866"/>
      <c r="Y281" s="866"/>
      <c r="Z281" s="868"/>
      <c r="AA281" s="868"/>
      <c r="AB281" s="866"/>
      <c r="AC281" s="866"/>
      <c r="AD281" s="868"/>
      <c r="AE281" s="868"/>
    </row>
    <row r="282" spans="1:31" hidden="1" x14ac:dyDescent="0.25">
      <c r="A282" s="561"/>
      <c r="B282" s="561"/>
      <c r="C282" s="561"/>
      <c r="D282" s="539"/>
      <c r="E282" s="539"/>
      <c r="F282" s="539"/>
      <c r="G282" s="539"/>
      <c r="H282" s="561"/>
      <c r="I282" s="561"/>
      <c r="J282" s="561"/>
      <c r="K282" s="561"/>
      <c r="N282" s="326"/>
      <c r="O282" s="326"/>
      <c r="P282" s="866"/>
      <c r="Q282" s="866"/>
      <c r="R282" s="866"/>
      <c r="S282" s="866"/>
      <c r="T282" s="866"/>
      <c r="U282" s="866"/>
      <c r="V282" s="866"/>
      <c r="W282" s="866"/>
      <c r="Y282" s="866"/>
      <c r="Z282" s="868"/>
      <c r="AA282" s="868"/>
      <c r="AB282" s="866"/>
      <c r="AC282" s="866"/>
      <c r="AD282" s="868"/>
      <c r="AE282" s="868"/>
    </row>
    <row r="283" spans="1:31" ht="15" hidden="1" thickTop="1" thickBot="1" x14ac:dyDescent="0.3">
      <c r="A283" s="1490" t="str">
        <f>SetUp!A4:B4</f>
        <v>1.  Is the source of the funding federal?</v>
      </c>
      <c r="B283" s="1490"/>
      <c r="C283" s="695" t="str">
        <f>SetUp!C4</f>
        <v>Yes</v>
      </c>
      <c r="D283" s="561"/>
      <c r="E283" s="561"/>
      <c r="F283" s="561"/>
      <c r="G283" s="561"/>
      <c r="H283" s="561"/>
      <c r="I283" s="561"/>
      <c r="J283" s="561"/>
      <c r="K283" s="561"/>
      <c r="N283" s="866"/>
      <c r="O283" s="866"/>
      <c r="P283" s="866"/>
      <c r="Q283" s="866"/>
      <c r="R283" s="866"/>
      <c r="S283" s="866"/>
      <c r="T283" s="866"/>
      <c r="U283" s="866"/>
      <c r="V283" s="866"/>
      <c r="W283" s="866"/>
      <c r="Y283" s="866"/>
      <c r="Z283" s="866"/>
      <c r="AA283" s="866"/>
      <c r="AB283" s="866"/>
      <c r="AC283" s="866"/>
      <c r="AD283" s="866"/>
      <c r="AE283" s="866"/>
    </row>
    <row r="284" spans="1:31" hidden="1" x14ac:dyDescent="0.25">
      <c r="A284" s="539"/>
      <c r="B284" s="539"/>
      <c r="C284" s="561"/>
      <c r="D284" s="561"/>
      <c r="E284" s="561"/>
      <c r="F284" s="561"/>
      <c r="G284" s="561"/>
      <c r="H284" s="561"/>
      <c r="I284" s="561"/>
      <c r="J284" s="561"/>
      <c r="K284" s="561"/>
      <c r="N284" s="866"/>
      <c r="O284" s="866"/>
      <c r="P284" s="866"/>
      <c r="Q284" s="866"/>
      <c r="R284" s="866"/>
      <c r="S284" s="866"/>
      <c r="T284" s="866"/>
      <c r="U284" s="866"/>
      <c r="V284" s="866"/>
      <c r="W284" s="866"/>
      <c r="Y284" s="866"/>
      <c r="Z284" s="866"/>
      <c r="AA284" s="866"/>
      <c r="AB284" s="866"/>
      <c r="AC284" s="866"/>
      <c r="AD284" s="866"/>
      <c r="AE284" s="866"/>
    </row>
    <row r="285" spans="1:31" ht="15" hidden="1" thickTop="1" thickBot="1" x14ac:dyDescent="0.3">
      <c r="A285" s="539" t="str">
        <f>'Y1'!A104</f>
        <v>1.  Is this a NIH modular budget?</v>
      </c>
      <c r="B285" s="539"/>
      <c r="C285" s="696" t="str">
        <f>'Y1'!L104</f>
        <v>No</v>
      </c>
      <c r="D285" s="561"/>
      <c r="E285" s="561"/>
      <c r="F285" s="561"/>
      <c r="G285" s="561"/>
      <c r="H285" s="561"/>
      <c r="I285" s="561"/>
      <c r="J285" s="561"/>
      <c r="K285" s="561"/>
      <c r="N285" s="866"/>
      <c r="O285" s="866"/>
      <c r="P285" s="866"/>
      <c r="Q285" s="866"/>
      <c r="R285" s="866"/>
      <c r="S285" s="866"/>
      <c r="T285" s="866"/>
      <c r="U285" s="866"/>
      <c r="V285" s="866"/>
      <c r="W285" s="866"/>
      <c r="Y285" s="866"/>
      <c r="Z285" s="866"/>
      <c r="AA285" s="866"/>
      <c r="AB285" s="866"/>
      <c r="AC285" s="866"/>
      <c r="AD285" s="866"/>
      <c r="AE285" s="866"/>
    </row>
    <row r="286" spans="1:31" hidden="1" x14ac:dyDescent="0.25">
      <c r="A286" s="539" t="str">
        <f>'Y1'!A105</f>
        <v xml:space="preserve">       If Yes, please choose a module from the drop down menu in the "NIH Modular Amount" box. Also choosing Yes will allow the form to calculate F&amp;A on the modular amount.</v>
      </c>
      <c r="B286" s="539"/>
      <c r="C286" s="539"/>
      <c r="D286" s="539"/>
      <c r="E286" s="539"/>
      <c r="F286" s="539"/>
      <c r="G286" s="539"/>
      <c r="H286" s="539"/>
      <c r="I286" s="539"/>
      <c r="J286" s="539"/>
      <c r="K286" s="539"/>
      <c r="N286" s="866"/>
      <c r="O286" s="866"/>
      <c r="P286" s="866"/>
      <c r="Q286" s="866"/>
      <c r="R286" s="866"/>
      <c r="S286" s="866"/>
      <c r="T286" s="866"/>
      <c r="U286" s="866"/>
      <c r="V286" s="866"/>
      <c r="W286" s="866"/>
      <c r="Y286" s="866"/>
      <c r="Z286" s="868"/>
      <c r="AA286" s="868"/>
      <c r="AB286" s="866"/>
      <c r="AC286" s="866"/>
      <c r="AD286" s="868"/>
      <c r="AE286" s="868"/>
    </row>
    <row r="287" spans="1:31" ht="15" x14ac:dyDescent="0.25">
      <c r="A287" s="479"/>
      <c r="B287" s="479"/>
      <c r="C287" s="480"/>
      <c r="D287" s="480"/>
      <c r="E287" s="480"/>
      <c r="F287" s="480"/>
      <c r="G287" s="480"/>
      <c r="H287" s="480"/>
      <c r="I287" s="866"/>
      <c r="J287" s="866"/>
      <c r="K287" s="866"/>
      <c r="N287" s="866"/>
      <c r="O287" s="866"/>
      <c r="P287" s="866"/>
      <c r="Q287" s="866"/>
      <c r="R287" s="866"/>
      <c r="S287" s="866"/>
      <c r="T287" s="866"/>
      <c r="U287" s="866"/>
      <c r="V287" s="866"/>
      <c r="W287" s="866"/>
      <c r="Y287" s="866"/>
      <c r="Z287" s="868"/>
      <c r="AA287" s="868"/>
      <c r="AB287" s="866"/>
      <c r="AC287" s="866"/>
      <c r="AD287" s="868"/>
      <c r="AE287" s="868"/>
    </row>
    <row r="288" spans="1:31" x14ac:dyDescent="0.25">
      <c r="A288" s="403"/>
      <c r="B288" s="481"/>
      <c r="C288" s="480"/>
      <c r="D288" s="480"/>
      <c r="E288" s="480"/>
      <c r="F288" s="480"/>
      <c r="G288" s="482"/>
      <c r="H288" s="480"/>
      <c r="I288" s="866"/>
      <c r="J288" s="866"/>
      <c r="K288" s="866"/>
      <c r="N288" s="866"/>
      <c r="O288" s="866"/>
      <c r="P288" s="866"/>
      <c r="Q288" s="866"/>
      <c r="R288" s="866"/>
      <c r="S288" s="866"/>
      <c r="T288" s="866"/>
      <c r="U288" s="866"/>
      <c r="V288" s="866"/>
      <c r="W288" s="866"/>
      <c r="Y288" s="866"/>
      <c r="Z288" s="868"/>
      <c r="AA288" s="868"/>
      <c r="AB288" s="866"/>
      <c r="AC288" s="866"/>
      <c r="AD288" s="868"/>
      <c r="AE288" s="868"/>
    </row>
    <row r="289" spans="1:31" x14ac:dyDescent="0.25">
      <c r="A289" s="403"/>
      <c r="B289" s="481"/>
      <c r="C289" s="480"/>
      <c r="D289" s="480"/>
      <c r="E289" s="480"/>
      <c r="F289" s="480"/>
      <c r="G289" s="481"/>
      <c r="H289" s="480"/>
      <c r="I289" s="866"/>
      <c r="J289" s="866"/>
      <c r="K289" s="866"/>
      <c r="N289" s="866"/>
      <c r="O289" s="866"/>
      <c r="P289" s="866"/>
      <c r="Q289" s="866"/>
      <c r="R289" s="866"/>
      <c r="S289" s="866"/>
      <c r="T289" s="866"/>
      <c r="U289" s="866"/>
      <c r="V289" s="866"/>
      <c r="W289" s="866"/>
      <c r="Y289" s="866"/>
      <c r="Z289" s="868"/>
      <c r="AA289" s="868"/>
      <c r="AB289" s="866"/>
      <c r="AC289" s="866"/>
      <c r="AD289" s="868"/>
      <c r="AE289" s="868"/>
    </row>
    <row r="290" spans="1:31" x14ac:dyDescent="0.25">
      <c r="A290" s="403"/>
      <c r="B290" s="481"/>
      <c r="C290" s="480"/>
      <c r="D290" s="480"/>
      <c r="E290" s="480"/>
      <c r="F290" s="480"/>
      <c r="G290" s="482"/>
      <c r="H290" s="480"/>
      <c r="I290" s="866"/>
      <c r="J290" s="866"/>
      <c r="K290" s="866"/>
      <c r="N290" s="866"/>
      <c r="O290" s="866"/>
      <c r="P290" s="866"/>
      <c r="Q290" s="866"/>
      <c r="R290" s="866"/>
      <c r="S290" s="866"/>
      <c r="T290" s="866"/>
      <c r="U290" s="866"/>
      <c r="V290" s="866"/>
      <c r="W290" s="866"/>
      <c r="Y290" s="866"/>
      <c r="Z290" s="868"/>
      <c r="AA290" s="868"/>
      <c r="AB290" s="866"/>
      <c r="AC290" s="866"/>
      <c r="AD290" s="868"/>
      <c r="AE290" s="868"/>
    </row>
    <row r="291" spans="1:31" x14ac:dyDescent="0.25">
      <c r="A291" s="481"/>
      <c r="B291" s="481"/>
      <c r="C291" s="480"/>
      <c r="D291" s="480"/>
      <c r="E291" s="480"/>
      <c r="F291" s="480"/>
      <c r="G291" s="483"/>
      <c r="H291" s="480"/>
      <c r="I291" s="866"/>
      <c r="J291" s="866"/>
      <c r="K291" s="866"/>
      <c r="N291" s="866"/>
      <c r="O291" s="866"/>
      <c r="P291" s="866"/>
      <c r="Q291" s="866"/>
      <c r="R291" s="866"/>
      <c r="S291" s="866"/>
      <c r="T291" s="866"/>
      <c r="U291" s="866"/>
      <c r="V291" s="866"/>
      <c r="W291" s="866"/>
      <c r="Y291" s="866"/>
      <c r="Z291" s="868"/>
      <c r="AA291" s="868"/>
      <c r="AB291" s="866"/>
      <c r="AC291" s="866"/>
      <c r="AD291" s="868"/>
      <c r="AE291" s="868"/>
    </row>
    <row r="292" spans="1:31" x14ac:dyDescent="0.25">
      <c r="A292" s="403"/>
      <c r="B292" s="481"/>
      <c r="C292" s="480"/>
      <c r="D292" s="480"/>
      <c r="E292" s="480"/>
      <c r="F292" s="480"/>
      <c r="G292" s="480"/>
      <c r="H292" s="480"/>
      <c r="I292" s="866"/>
      <c r="J292" s="866"/>
      <c r="K292" s="866"/>
      <c r="N292" s="866"/>
      <c r="O292" s="866"/>
      <c r="P292" s="866"/>
      <c r="Q292" s="866"/>
      <c r="R292" s="866"/>
      <c r="S292" s="866"/>
      <c r="T292" s="866"/>
      <c r="U292" s="866"/>
      <c r="V292" s="866"/>
      <c r="W292" s="866"/>
      <c r="Y292" s="866"/>
      <c r="Z292" s="868"/>
      <c r="AA292" s="868"/>
      <c r="AB292" s="866"/>
      <c r="AC292" s="866"/>
      <c r="AD292" s="868"/>
      <c r="AE292" s="868"/>
    </row>
    <row r="293" spans="1:31" x14ac:dyDescent="0.25">
      <c r="A293" s="403"/>
      <c r="B293" s="481"/>
      <c r="C293" s="480"/>
      <c r="D293" s="480"/>
      <c r="E293" s="480"/>
      <c r="F293" s="480"/>
      <c r="G293" s="482"/>
      <c r="H293" s="480"/>
      <c r="I293" s="866"/>
      <c r="J293" s="866"/>
      <c r="K293" s="866"/>
      <c r="N293" s="866"/>
      <c r="O293" s="866"/>
      <c r="P293" s="866"/>
      <c r="Q293" s="866"/>
      <c r="R293" s="866"/>
      <c r="S293" s="866"/>
      <c r="T293" s="866"/>
      <c r="U293" s="866"/>
      <c r="V293" s="866"/>
      <c r="W293" s="866"/>
      <c r="Y293" s="866"/>
      <c r="Z293" s="868"/>
      <c r="AA293" s="868"/>
      <c r="AB293" s="866"/>
      <c r="AC293" s="866"/>
      <c r="AD293" s="868"/>
      <c r="AE293" s="868"/>
    </row>
    <row r="294" spans="1:31" x14ac:dyDescent="0.25">
      <c r="A294" s="403"/>
      <c r="B294" s="481"/>
      <c r="C294" s="480"/>
      <c r="D294" s="480"/>
      <c r="E294" s="480"/>
      <c r="F294" s="480"/>
      <c r="G294" s="481"/>
      <c r="H294" s="480"/>
      <c r="I294" s="866"/>
      <c r="J294" s="866"/>
      <c r="K294" s="866"/>
      <c r="N294" s="866"/>
      <c r="O294" s="866"/>
      <c r="P294" s="866"/>
      <c r="Q294" s="866"/>
      <c r="R294" s="866"/>
      <c r="S294" s="866"/>
      <c r="T294" s="866"/>
      <c r="U294" s="866"/>
      <c r="V294" s="866"/>
      <c r="W294" s="866"/>
      <c r="Y294" s="866"/>
      <c r="Z294" s="868"/>
      <c r="AA294" s="868"/>
      <c r="AB294" s="866"/>
      <c r="AC294" s="866"/>
      <c r="AD294" s="868"/>
      <c r="AE294" s="868"/>
    </row>
    <row r="295" spans="1:31" x14ac:dyDescent="0.25">
      <c r="A295" s="403"/>
      <c r="B295" s="481"/>
      <c r="C295" s="480"/>
      <c r="D295" s="480"/>
      <c r="E295" s="480"/>
      <c r="F295" s="480"/>
      <c r="G295" s="482"/>
      <c r="H295" s="483"/>
      <c r="I295" s="866"/>
      <c r="J295" s="866"/>
      <c r="K295" s="866"/>
      <c r="N295" s="866"/>
      <c r="O295" s="866"/>
      <c r="P295" s="866"/>
      <c r="Q295" s="866"/>
      <c r="R295" s="866"/>
      <c r="S295" s="866"/>
      <c r="T295" s="866"/>
      <c r="U295" s="866"/>
      <c r="V295" s="866"/>
      <c r="W295" s="866"/>
      <c r="Y295" s="866"/>
      <c r="Z295" s="868"/>
      <c r="AA295" s="868"/>
      <c r="AB295" s="866"/>
      <c r="AC295" s="866"/>
      <c r="AD295" s="868"/>
      <c r="AE295" s="868"/>
    </row>
    <row r="296" spans="1:31" x14ac:dyDescent="0.25">
      <c r="A296" s="481"/>
      <c r="B296" s="481"/>
      <c r="C296" s="480"/>
      <c r="D296" s="480"/>
      <c r="E296" s="480"/>
      <c r="F296" s="480"/>
      <c r="G296" s="483"/>
      <c r="H296" s="480"/>
      <c r="I296" s="866"/>
      <c r="J296" s="866"/>
      <c r="K296" s="866"/>
      <c r="N296" s="866"/>
      <c r="O296" s="866"/>
      <c r="P296" s="866"/>
      <c r="Q296" s="866"/>
      <c r="R296" s="866"/>
      <c r="S296" s="866"/>
      <c r="T296" s="866"/>
      <c r="U296" s="866"/>
      <c r="V296" s="866"/>
      <c r="W296" s="866"/>
      <c r="Y296" s="866"/>
      <c r="Z296" s="868"/>
      <c r="AA296" s="868"/>
      <c r="AB296" s="866"/>
      <c r="AC296" s="866"/>
      <c r="AD296" s="868"/>
      <c r="AE296" s="868"/>
    </row>
    <row r="297" spans="1:31" x14ac:dyDescent="0.25">
      <c r="A297" s="403"/>
      <c r="B297" s="481"/>
      <c r="C297" s="480"/>
      <c r="D297" s="480"/>
      <c r="E297" s="480"/>
      <c r="F297" s="480"/>
      <c r="G297" s="480"/>
      <c r="H297" s="484"/>
      <c r="I297" s="866"/>
      <c r="J297" s="866"/>
      <c r="K297" s="866"/>
      <c r="N297" s="866"/>
      <c r="O297" s="866"/>
      <c r="P297" s="866"/>
      <c r="Q297" s="866"/>
      <c r="R297" s="866"/>
      <c r="S297" s="866"/>
      <c r="T297" s="866"/>
      <c r="U297" s="866"/>
      <c r="V297" s="866"/>
      <c r="W297" s="866"/>
      <c r="Y297" s="866"/>
      <c r="Z297" s="868"/>
      <c r="AA297" s="868"/>
      <c r="AB297" s="866"/>
      <c r="AC297" s="866"/>
      <c r="AD297" s="868"/>
      <c r="AE297" s="868"/>
    </row>
    <row r="298" spans="1:31" x14ac:dyDescent="0.25">
      <c r="A298" s="485"/>
      <c r="B298" s="485"/>
      <c r="C298" s="480"/>
      <c r="D298" s="480"/>
      <c r="E298" s="480"/>
      <c r="F298" s="480"/>
      <c r="G298" s="480"/>
      <c r="H298" s="480"/>
      <c r="I298" s="866"/>
      <c r="J298" s="866"/>
      <c r="K298" s="866"/>
      <c r="N298" s="866"/>
      <c r="O298" s="866"/>
      <c r="P298" s="866"/>
      <c r="Q298" s="866"/>
      <c r="R298" s="866"/>
      <c r="S298" s="866"/>
      <c r="T298" s="866"/>
      <c r="U298" s="866"/>
      <c r="V298" s="866"/>
      <c r="W298" s="866"/>
      <c r="Y298" s="866"/>
      <c r="Z298" s="868"/>
      <c r="AA298" s="868"/>
      <c r="AB298" s="866"/>
      <c r="AC298" s="866"/>
      <c r="AD298" s="868"/>
      <c r="AE298" s="868"/>
    </row>
    <row r="299" spans="1:31" x14ac:dyDescent="0.25">
      <c r="A299" s="403"/>
      <c r="B299" s="481"/>
      <c r="C299" s="480"/>
      <c r="D299" s="480"/>
      <c r="E299" s="480"/>
      <c r="F299" s="480"/>
      <c r="G299" s="480"/>
      <c r="H299" s="480"/>
      <c r="I299" s="866"/>
      <c r="J299" s="866"/>
      <c r="K299" s="866"/>
      <c r="N299" s="866"/>
      <c r="O299" s="866"/>
      <c r="P299" s="866"/>
      <c r="Q299" s="866"/>
      <c r="R299" s="866"/>
      <c r="S299" s="866"/>
      <c r="T299" s="866"/>
      <c r="U299" s="866"/>
      <c r="V299" s="866"/>
      <c r="W299" s="866"/>
      <c r="Y299" s="866"/>
      <c r="Z299" s="868"/>
      <c r="AA299" s="868"/>
      <c r="AB299" s="866"/>
      <c r="AC299" s="866"/>
      <c r="AD299" s="868"/>
      <c r="AE299" s="868"/>
    </row>
    <row r="300" spans="1:31" x14ac:dyDescent="0.25">
      <c r="A300" s="481"/>
      <c r="B300" s="481"/>
      <c r="C300" s="480"/>
      <c r="D300" s="480"/>
      <c r="E300" s="480"/>
      <c r="F300" s="480"/>
      <c r="G300" s="480"/>
      <c r="H300" s="484"/>
      <c r="I300" s="866"/>
      <c r="J300" s="866"/>
      <c r="K300" s="866"/>
      <c r="N300" s="866"/>
      <c r="O300" s="866"/>
      <c r="P300" s="866"/>
      <c r="Q300" s="866"/>
      <c r="R300" s="866"/>
      <c r="S300" s="866"/>
      <c r="T300" s="866"/>
      <c r="U300" s="866"/>
      <c r="V300" s="866"/>
      <c r="W300" s="866"/>
      <c r="Y300" s="866"/>
      <c r="Z300" s="868"/>
      <c r="AA300" s="868"/>
      <c r="AB300" s="866"/>
      <c r="AC300" s="866"/>
      <c r="AD300" s="868"/>
      <c r="AE300" s="868"/>
    </row>
    <row r="301" spans="1:31" x14ac:dyDescent="0.25">
      <c r="A301" s="486"/>
      <c r="B301" s="486"/>
      <c r="C301" s="480"/>
      <c r="D301" s="480"/>
      <c r="E301" s="480"/>
      <c r="F301" s="480"/>
      <c r="G301" s="480"/>
      <c r="H301" s="484"/>
      <c r="I301" s="866"/>
      <c r="J301" s="866"/>
      <c r="K301" s="866"/>
      <c r="N301" s="866"/>
      <c r="O301" s="866"/>
      <c r="P301" s="866"/>
      <c r="Q301" s="866"/>
      <c r="R301" s="866"/>
      <c r="S301" s="866"/>
      <c r="T301" s="866"/>
      <c r="U301" s="866"/>
      <c r="V301" s="866"/>
      <c r="W301" s="866"/>
      <c r="Y301" s="866"/>
      <c r="Z301" s="868"/>
      <c r="AA301" s="868"/>
      <c r="AB301" s="866"/>
      <c r="AC301" s="866"/>
      <c r="AD301" s="868"/>
      <c r="AE301" s="868"/>
    </row>
    <row r="302" spans="1:31" x14ac:dyDescent="0.25">
      <c r="A302" s="405"/>
      <c r="B302" s="405"/>
      <c r="C302" s="866"/>
      <c r="D302" s="866"/>
      <c r="E302" s="866"/>
      <c r="F302" s="866"/>
      <c r="G302" s="866"/>
      <c r="H302" s="866"/>
      <c r="I302" s="866"/>
      <c r="J302" s="866"/>
      <c r="K302" s="866"/>
      <c r="N302" s="866"/>
      <c r="O302" s="866"/>
      <c r="P302" s="866"/>
      <c r="Q302" s="866"/>
      <c r="R302" s="866"/>
      <c r="S302" s="866"/>
      <c r="T302" s="866"/>
      <c r="U302" s="866"/>
      <c r="V302" s="866"/>
      <c r="W302" s="866"/>
      <c r="Y302" s="866"/>
      <c r="Z302" s="868"/>
      <c r="AA302" s="868"/>
      <c r="AB302" s="866"/>
      <c r="AC302" s="866"/>
      <c r="AD302" s="868"/>
      <c r="AE302" s="868"/>
    </row>
    <row r="303" spans="1:31" x14ac:dyDescent="0.25">
      <c r="A303" s="405"/>
      <c r="B303" s="405"/>
      <c r="C303" s="866"/>
      <c r="D303" s="866"/>
      <c r="E303" s="866"/>
      <c r="F303" s="866"/>
      <c r="G303" s="866"/>
      <c r="H303" s="866"/>
      <c r="I303" s="866"/>
      <c r="J303" s="866"/>
      <c r="K303" s="866"/>
      <c r="N303" s="866"/>
      <c r="O303" s="866"/>
      <c r="P303" s="866"/>
      <c r="Q303" s="866"/>
      <c r="R303" s="866"/>
      <c r="S303" s="866"/>
      <c r="T303" s="866"/>
      <c r="U303" s="866"/>
      <c r="V303" s="866"/>
      <c r="W303" s="866"/>
      <c r="Y303" s="866"/>
      <c r="Z303" s="868"/>
      <c r="AA303" s="868"/>
      <c r="AB303" s="866"/>
      <c r="AC303" s="866"/>
      <c r="AD303" s="868"/>
      <c r="AE303" s="868"/>
    </row>
    <row r="304" spans="1:31" x14ac:dyDescent="0.25">
      <c r="A304" s="405"/>
      <c r="B304" s="405"/>
      <c r="C304" s="866"/>
      <c r="D304" s="866"/>
      <c r="E304" s="866"/>
      <c r="F304" s="866"/>
      <c r="G304" s="866"/>
      <c r="H304" s="866"/>
      <c r="I304" s="866"/>
      <c r="J304" s="866"/>
      <c r="K304" s="866"/>
      <c r="N304" s="866"/>
      <c r="O304" s="866"/>
      <c r="P304" s="866"/>
      <c r="Q304" s="866"/>
      <c r="R304" s="866"/>
      <c r="S304" s="866"/>
      <c r="T304" s="866"/>
      <c r="U304" s="866"/>
      <c r="V304" s="866"/>
      <c r="W304" s="866"/>
      <c r="Y304" s="866"/>
      <c r="Z304" s="868"/>
      <c r="AA304" s="868"/>
      <c r="AB304" s="866"/>
      <c r="AC304" s="866"/>
      <c r="AD304" s="868"/>
      <c r="AE304" s="868"/>
    </row>
    <row r="305" spans="1:31" x14ac:dyDescent="0.25">
      <c r="A305" s="405"/>
      <c r="B305" s="405"/>
      <c r="C305" s="866"/>
      <c r="D305" s="866"/>
      <c r="E305" s="866"/>
      <c r="F305" s="866"/>
      <c r="G305" s="866"/>
      <c r="H305" s="866"/>
      <c r="I305" s="866"/>
      <c r="J305" s="866"/>
      <c r="K305" s="866"/>
      <c r="N305" s="866"/>
      <c r="O305" s="866"/>
      <c r="P305" s="866"/>
      <c r="Q305" s="866"/>
      <c r="R305" s="866"/>
      <c r="S305" s="866"/>
      <c r="T305" s="866"/>
      <c r="U305" s="866"/>
      <c r="V305" s="866"/>
      <c r="W305" s="866"/>
      <c r="Y305" s="866"/>
      <c r="Z305" s="868"/>
      <c r="AA305" s="868"/>
      <c r="AB305" s="866"/>
      <c r="AC305" s="866"/>
      <c r="AD305" s="868"/>
      <c r="AE305" s="868"/>
    </row>
    <row r="306" spans="1:31" x14ac:dyDescent="0.25">
      <c r="A306" s="405"/>
      <c r="B306" s="405"/>
      <c r="C306" s="866"/>
      <c r="D306" s="866"/>
      <c r="E306" s="866"/>
      <c r="F306" s="866"/>
      <c r="G306" s="866"/>
      <c r="H306" s="866"/>
      <c r="I306" s="866"/>
      <c r="J306" s="866"/>
      <c r="K306" s="866"/>
      <c r="N306" s="866"/>
      <c r="O306" s="866"/>
      <c r="P306" s="866"/>
      <c r="Q306" s="866"/>
      <c r="R306" s="866"/>
      <c r="S306" s="866"/>
      <c r="T306" s="866"/>
      <c r="U306" s="866"/>
      <c r="V306" s="866"/>
      <c r="W306" s="866"/>
      <c r="Y306" s="866"/>
      <c r="Z306" s="868"/>
      <c r="AA306" s="868"/>
      <c r="AB306" s="866"/>
      <c r="AC306" s="866"/>
      <c r="AD306" s="868"/>
      <c r="AE306" s="868"/>
    </row>
    <row r="307" spans="1:31" x14ac:dyDescent="0.25">
      <c r="A307" s="405"/>
      <c r="B307" s="405"/>
      <c r="C307" s="866"/>
      <c r="D307" s="866"/>
      <c r="E307" s="866"/>
      <c r="F307" s="866"/>
      <c r="G307" s="866"/>
      <c r="H307" s="866"/>
      <c r="I307" s="866"/>
      <c r="J307" s="866"/>
      <c r="K307" s="866"/>
      <c r="N307" s="866"/>
      <c r="O307" s="866"/>
      <c r="P307" s="866"/>
      <c r="Q307" s="866"/>
      <c r="R307" s="866"/>
      <c r="S307" s="866"/>
      <c r="T307" s="866"/>
      <c r="U307" s="866"/>
      <c r="V307" s="866"/>
      <c r="W307" s="866"/>
      <c r="Y307" s="866"/>
      <c r="Z307" s="868"/>
      <c r="AA307" s="868"/>
      <c r="AB307" s="866"/>
      <c r="AC307" s="866"/>
      <c r="AD307" s="868"/>
      <c r="AE307" s="868"/>
    </row>
    <row r="308" spans="1:31" x14ac:dyDescent="0.25">
      <c r="A308" s="405"/>
      <c r="B308" s="405"/>
      <c r="C308" s="866"/>
      <c r="D308" s="866"/>
      <c r="E308" s="866"/>
      <c r="F308" s="866"/>
      <c r="G308" s="866"/>
      <c r="H308" s="866"/>
      <c r="I308" s="866"/>
      <c r="J308" s="866"/>
      <c r="K308" s="866"/>
      <c r="N308" s="866"/>
      <c r="O308" s="866"/>
      <c r="P308" s="866"/>
      <c r="Q308" s="866"/>
      <c r="R308" s="866"/>
      <c r="S308" s="866"/>
      <c r="T308" s="866"/>
      <c r="U308" s="866"/>
      <c r="V308" s="866"/>
      <c r="W308" s="866"/>
      <c r="Y308" s="866"/>
      <c r="Z308" s="868"/>
      <c r="AA308" s="868"/>
      <c r="AB308" s="866"/>
      <c r="AC308" s="866"/>
      <c r="AD308" s="868"/>
      <c r="AE308" s="868"/>
    </row>
    <row r="309" spans="1:31" x14ac:dyDescent="0.25">
      <c r="A309" s="405"/>
      <c r="B309" s="405"/>
      <c r="C309" s="866"/>
      <c r="D309" s="866"/>
      <c r="E309" s="866"/>
      <c r="F309" s="866"/>
      <c r="G309" s="866"/>
      <c r="H309" s="866"/>
      <c r="I309" s="866"/>
      <c r="J309" s="866"/>
      <c r="K309" s="866"/>
      <c r="N309" s="866"/>
      <c r="O309" s="866"/>
      <c r="P309" s="866"/>
      <c r="Q309" s="866"/>
      <c r="R309" s="866"/>
      <c r="S309" s="866"/>
      <c r="T309" s="866"/>
      <c r="U309" s="866"/>
      <c r="V309" s="866"/>
      <c r="W309" s="866"/>
      <c r="Y309" s="866"/>
      <c r="Z309" s="868"/>
      <c r="AA309" s="868"/>
      <c r="AB309" s="866"/>
      <c r="AC309" s="866"/>
      <c r="AD309" s="868"/>
      <c r="AE309" s="868"/>
    </row>
    <row r="310" spans="1:31" x14ac:dyDescent="0.25">
      <c r="A310" s="405"/>
      <c r="B310" s="405"/>
      <c r="C310" s="866"/>
      <c r="D310" s="866"/>
      <c r="E310" s="866"/>
      <c r="F310" s="866"/>
      <c r="G310" s="866"/>
      <c r="H310" s="866"/>
      <c r="I310" s="866"/>
      <c r="J310" s="866"/>
      <c r="K310" s="866"/>
      <c r="N310" s="866"/>
      <c r="O310" s="866"/>
      <c r="P310" s="866"/>
      <c r="Q310" s="866"/>
      <c r="R310" s="866"/>
      <c r="S310" s="866"/>
      <c r="T310" s="866"/>
      <c r="U310" s="866"/>
      <c r="V310" s="866"/>
      <c r="W310" s="866"/>
      <c r="Y310" s="866"/>
      <c r="Z310" s="868"/>
      <c r="AA310" s="868"/>
      <c r="AB310" s="866"/>
      <c r="AC310" s="866"/>
      <c r="AD310" s="868"/>
      <c r="AE310" s="868"/>
    </row>
    <row r="311" spans="1:31" x14ac:dyDescent="0.25">
      <c r="A311" s="405"/>
      <c r="B311" s="405"/>
      <c r="C311" s="866"/>
      <c r="D311" s="866"/>
      <c r="E311" s="866"/>
      <c r="F311" s="866"/>
      <c r="G311" s="866"/>
      <c r="H311" s="866"/>
      <c r="I311" s="866"/>
      <c r="J311" s="866"/>
      <c r="K311" s="866"/>
      <c r="N311" s="866"/>
      <c r="O311" s="866"/>
      <c r="P311" s="866"/>
      <c r="Q311" s="866"/>
      <c r="R311" s="866"/>
      <c r="S311" s="866"/>
      <c r="T311" s="866"/>
      <c r="U311" s="866"/>
      <c r="V311" s="866"/>
      <c r="W311" s="866"/>
      <c r="Y311" s="866"/>
      <c r="Z311" s="868"/>
      <c r="AA311" s="868"/>
      <c r="AB311" s="866"/>
      <c r="AC311" s="866"/>
      <c r="AD311" s="868"/>
      <c r="AE311" s="868"/>
    </row>
    <row r="312" spans="1:31" x14ac:dyDescent="0.25">
      <c r="A312" s="405"/>
      <c r="B312" s="405"/>
      <c r="C312" s="866"/>
      <c r="D312" s="866"/>
      <c r="E312" s="866"/>
      <c r="F312" s="866"/>
      <c r="G312" s="866"/>
      <c r="H312" s="866"/>
      <c r="I312" s="866"/>
      <c r="J312" s="866"/>
      <c r="K312" s="866"/>
      <c r="N312" s="866"/>
      <c r="O312" s="866"/>
      <c r="P312" s="866"/>
      <c r="Q312" s="866"/>
      <c r="R312" s="866"/>
      <c r="S312" s="866"/>
      <c r="T312" s="866"/>
      <c r="U312" s="866"/>
      <c r="V312" s="866"/>
      <c r="W312" s="866"/>
      <c r="Y312" s="866"/>
      <c r="Z312" s="868"/>
      <c r="AA312" s="868"/>
      <c r="AB312" s="866"/>
      <c r="AC312" s="866"/>
      <c r="AD312" s="868"/>
      <c r="AE312" s="868"/>
    </row>
    <row r="313" spans="1:31" x14ac:dyDescent="0.25">
      <c r="A313" s="405"/>
      <c r="B313" s="405"/>
      <c r="C313" s="866"/>
      <c r="D313" s="866"/>
      <c r="E313" s="866"/>
      <c r="F313" s="866"/>
      <c r="G313" s="866"/>
      <c r="H313" s="866"/>
      <c r="I313" s="866"/>
      <c r="J313" s="866"/>
      <c r="K313" s="866"/>
      <c r="N313" s="866"/>
      <c r="O313" s="866"/>
      <c r="P313" s="866"/>
      <c r="Q313" s="866"/>
      <c r="R313" s="866"/>
      <c r="S313" s="866"/>
      <c r="T313" s="866"/>
      <c r="U313" s="866"/>
      <c r="V313" s="866"/>
      <c r="W313" s="866"/>
      <c r="Y313" s="866"/>
      <c r="Z313" s="868"/>
      <c r="AA313" s="868"/>
      <c r="AB313" s="866"/>
      <c r="AC313" s="866"/>
      <c r="AD313" s="868"/>
      <c r="AE313" s="868"/>
    </row>
    <row r="314" spans="1:31" x14ac:dyDescent="0.25">
      <c r="A314" s="405"/>
      <c r="B314" s="405"/>
      <c r="C314" s="866"/>
      <c r="D314" s="866"/>
      <c r="E314" s="866"/>
      <c r="F314" s="866"/>
      <c r="G314" s="866"/>
      <c r="H314" s="866"/>
      <c r="I314" s="866"/>
      <c r="J314" s="866"/>
      <c r="K314" s="866"/>
      <c r="N314" s="866"/>
      <c r="O314" s="866"/>
      <c r="P314" s="866"/>
      <c r="Q314" s="866"/>
      <c r="R314" s="866"/>
      <c r="S314" s="866"/>
      <c r="T314" s="866"/>
      <c r="U314" s="866"/>
      <c r="V314" s="866"/>
      <c r="W314" s="866"/>
      <c r="Y314" s="866"/>
      <c r="Z314" s="868"/>
      <c r="AA314" s="868"/>
      <c r="AB314" s="866"/>
      <c r="AC314" s="866"/>
      <c r="AD314" s="868"/>
      <c r="AE314" s="868"/>
    </row>
    <row r="315" spans="1:31" x14ac:dyDescent="0.25">
      <c r="A315" s="405"/>
      <c r="B315" s="405"/>
      <c r="C315" s="866"/>
      <c r="D315" s="866"/>
      <c r="E315" s="866"/>
      <c r="F315" s="866"/>
      <c r="G315" s="866"/>
      <c r="H315" s="866"/>
      <c r="I315" s="866"/>
      <c r="J315" s="866"/>
      <c r="K315" s="866"/>
      <c r="N315" s="866"/>
      <c r="O315" s="866"/>
      <c r="P315" s="866"/>
      <c r="Q315" s="866"/>
      <c r="R315" s="866"/>
      <c r="S315" s="866"/>
      <c r="T315" s="866"/>
      <c r="U315" s="866"/>
      <c r="V315" s="866"/>
      <c r="W315" s="866"/>
      <c r="Y315" s="866"/>
      <c r="Z315" s="868"/>
      <c r="AA315" s="868"/>
      <c r="AB315" s="866"/>
      <c r="AC315" s="866"/>
      <c r="AD315" s="868"/>
      <c r="AE315" s="868"/>
    </row>
    <row r="316" spans="1:31" x14ac:dyDescent="0.25">
      <c r="A316" s="405"/>
      <c r="B316" s="405"/>
      <c r="C316" s="866"/>
      <c r="D316" s="866"/>
      <c r="E316" s="866"/>
      <c r="F316" s="866"/>
      <c r="G316" s="866"/>
      <c r="H316" s="866"/>
      <c r="I316" s="866"/>
      <c r="J316" s="866"/>
      <c r="K316" s="866"/>
      <c r="N316" s="866"/>
      <c r="O316" s="866"/>
      <c r="P316" s="866"/>
      <c r="Q316" s="866"/>
      <c r="R316" s="866"/>
      <c r="S316" s="866"/>
      <c r="T316" s="866"/>
      <c r="U316" s="866"/>
      <c r="V316" s="866"/>
      <c r="W316" s="866"/>
      <c r="Y316" s="866"/>
      <c r="Z316" s="868"/>
      <c r="AA316" s="868"/>
      <c r="AB316" s="866"/>
      <c r="AC316" s="866"/>
      <c r="AD316" s="868"/>
      <c r="AE316" s="868"/>
    </row>
    <row r="317" spans="1:31" x14ac:dyDescent="0.25">
      <c r="A317" s="405"/>
      <c r="B317" s="405"/>
      <c r="C317" s="866"/>
      <c r="D317" s="866"/>
      <c r="E317" s="866"/>
      <c r="F317" s="866"/>
      <c r="G317" s="866"/>
      <c r="H317" s="866"/>
      <c r="I317" s="866"/>
      <c r="J317" s="866"/>
      <c r="K317" s="866"/>
      <c r="N317" s="866"/>
      <c r="O317" s="866"/>
      <c r="P317" s="866"/>
      <c r="Q317" s="866"/>
      <c r="R317" s="866"/>
      <c r="S317" s="866"/>
      <c r="T317" s="866"/>
      <c r="U317" s="866"/>
      <c r="V317" s="866"/>
      <c r="W317" s="866"/>
      <c r="Y317" s="866"/>
      <c r="Z317" s="868"/>
      <c r="AA317" s="868"/>
      <c r="AB317" s="866"/>
      <c r="AC317" s="866"/>
      <c r="AD317" s="868"/>
      <c r="AE317" s="868"/>
    </row>
    <row r="318" spans="1:31" x14ac:dyDescent="0.25">
      <c r="A318" s="405"/>
      <c r="B318" s="405"/>
      <c r="C318" s="866"/>
      <c r="D318" s="866"/>
      <c r="E318" s="866"/>
      <c r="F318" s="866"/>
      <c r="G318" s="866"/>
      <c r="H318" s="866"/>
      <c r="I318" s="866"/>
      <c r="J318" s="866"/>
      <c r="K318" s="866"/>
      <c r="N318" s="866"/>
      <c r="O318" s="866"/>
      <c r="P318" s="866"/>
      <c r="Q318" s="866"/>
      <c r="R318" s="866"/>
      <c r="S318" s="866"/>
      <c r="T318" s="866"/>
      <c r="U318" s="866"/>
      <c r="V318" s="866"/>
      <c r="W318" s="866"/>
      <c r="Y318" s="866"/>
      <c r="Z318" s="868"/>
      <c r="AA318" s="868"/>
      <c r="AB318" s="866"/>
      <c r="AC318" s="866"/>
      <c r="AD318" s="868"/>
      <c r="AE318" s="868"/>
    </row>
    <row r="319" spans="1:31" x14ac:dyDescent="0.25">
      <c r="A319" s="405"/>
      <c r="B319" s="405"/>
      <c r="C319" s="866"/>
      <c r="D319" s="866"/>
      <c r="E319" s="866"/>
      <c r="F319" s="866"/>
      <c r="G319" s="866"/>
      <c r="H319" s="866"/>
      <c r="I319" s="866"/>
      <c r="J319" s="866"/>
      <c r="K319" s="866"/>
      <c r="N319" s="866"/>
      <c r="O319" s="866"/>
      <c r="P319" s="866"/>
      <c r="Q319" s="866"/>
      <c r="R319" s="866"/>
      <c r="S319" s="866"/>
      <c r="T319" s="866"/>
      <c r="U319" s="866"/>
      <c r="V319" s="866"/>
      <c r="W319" s="866"/>
      <c r="Y319" s="866"/>
      <c r="Z319" s="868"/>
      <c r="AA319" s="868"/>
      <c r="AB319" s="866"/>
      <c r="AC319" s="866"/>
      <c r="AD319" s="868"/>
      <c r="AE319" s="868"/>
    </row>
    <row r="320" spans="1:31" x14ac:dyDescent="0.25">
      <c r="A320" s="405"/>
      <c r="B320" s="405"/>
      <c r="C320" s="866"/>
      <c r="D320" s="866"/>
      <c r="E320" s="866"/>
      <c r="F320" s="866"/>
      <c r="G320" s="866"/>
      <c r="H320" s="866"/>
      <c r="I320" s="866"/>
      <c r="J320" s="866"/>
      <c r="K320" s="866"/>
      <c r="N320" s="866"/>
      <c r="O320" s="866"/>
      <c r="P320" s="866"/>
      <c r="Q320" s="866"/>
      <c r="R320" s="866"/>
      <c r="S320" s="866"/>
      <c r="T320" s="866"/>
      <c r="U320" s="866"/>
      <c r="V320" s="866"/>
      <c r="W320" s="866"/>
      <c r="Y320" s="866"/>
      <c r="Z320" s="868"/>
      <c r="AA320" s="868"/>
      <c r="AB320" s="866"/>
      <c r="AC320" s="866"/>
      <c r="AD320" s="868"/>
      <c r="AE320" s="868"/>
    </row>
    <row r="321" spans="1:31" x14ac:dyDescent="0.25">
      <c r="A321" s="405"/>
      <c r="B321" s="405"/>
      <c r="C321" s="866"/>
      <c r="D321" s="866"/>
      <c r="E321" s="866"/>
      <c r="F321" s="866"/>
      <c r="G321" s="866"/>
      <c r="H321" s="866"/>
      <c r="I321" s="866"/>
      <c r="J321" s="866"/>
      <c r="K321" s="866"/>
      <c r="N321" s="866"/>
      <c r="O321" s="866"/>
      <c r="P321" s="866"/>
      <c r="Q321" s="866"/>
      <c r="R321" s="866"/>
      <c r="S321" s="866"/>
      <c r="T321" s="866"/>
      <c r="U321" s="866"/>
      <c r="V321" s="866"/>
      <c r="W321" s="866"/>
      <c r="Y321" s="866"/>
      <c r="Z321" s="868"/>
      <c r="AA321" s="868"/>
      <c r="AB321" s="866"/>
      <c r="AC321" s="866"/>
      <c r="AD321" s="868"/>
      <c r="AE321" s="868"/>
    </row>
    <row r="322" spans="1:31" x14ac:dyDescent="0.25">
      <c r="A322" s="405"/>
      <c r="B322" s="405"/>
      <c r="C322" s="866"/>
      <c r="D322" s="866"/>
      <c r="E322" s="866"/>
      <c r="F322" s="866"/>
      <c r="G322" s="866"/>
      <c r="H322" s="866"/>
      <c r="I322" s="866"/>
      <c r="J322" s="866"/>
      <c r="K322" s="866"/>
      <c r="N322" s="866"/>
      <c r="O322" s="866"/>
      <c r="P322" s="866"/>
      <c r="Q322" s="866"/>
      <c r="R322" s="866"/>
      <c r="S322" s="866"/>
      <c r="T322" s="866"/>
      <c r="U322" s="866"/>
      <c r="V322" s="866"/>
      <c r="W322" s="866"/>
      <c r="Y322" s="866"/>
      <c r="Z322" s="868"/>
      <c r="AA322" s="868"/>
      <c r="AB322" s="866"/>
      <c r="AC322" s="866"/>
      <c r="AD322" s="868"/>
      <c r="AE322" s="868"/>
    </row>
  </sheetData>
  <sheetProtection password="EC4C" sheet="1" objects="1" scenarios="1" formatCells="0" formatColumns="0" formatRows="0" insertColumns="0" insertRows="0" insertHyperlinks="0" selectLockedCells="1"/>
  <mergeCells count="35">
    <mergeCell ref="N13:P13"/>
    <mergeCell ref="R13:W13"/>
    <mergeCell ref="O14:O18"/>
    <mergeCell ref="U14:U18"/>
    <mergeCell ref="V14:V18"/>
    <mergeCell ref="N16:N18"/>
    <mergeCell ref="AG19:AH19"/>
    <mergeCell ref="AJ19:AK19"/>
    <mergeCell ref="AM19:AO19"/>
    <mergeCell ref="AG14:AH14"/>
    <mergeCell ref="AJ14:AK14"/>
    <mergeCell ref="AM14:AN14"/>
    <mergeCell ref="D18:E18"/>
    <mergeCell ref="F18:G18"/>
    <mergeCell ref="AC19:AE19"/>
    <mergeCell ref="R15:R18"/>
    <mergeCell ref="S15:S18"/>
    <mergeCell ref="T15:T18"/>
    <mergeCell ref="Y14:AE15"/>
    <mergeCell ref="AG36:AH36"/>
    <mergeCell ref="AJ36:AK36"/>
    <mergeCell ref="AM36:AO36"/>
    <mergeCell ref="A183:E183"/>
    <mergeCell ref="F183:G183"/>
    <mergeCell ref="Y56:Z56"/>
    <mergeCell ref="AC56:AE56"/>
    <mergeCell ref="Y36:AA36"/>
    <mergeCell ref="AC36:AE36"/>
    <mergeCell ref="A283:B283"/>
    <mergeCell ref="Y65:Z65"/>
    <mergeCell ref="AC65:AE65"/>
    <mergeCell ref="F180:K180"/>
    <mergeCell ref="F181:G181"/>
    <mergeCell ref="A182:E182"/>
    <mergeCell ref="F182:G182"/>
  </mergeCells>
  <dataValidations count="16">
    <dataValidation type="list" allowBlank="1" showInputMessage="1" showErrorMessage="1" sqref="I102">
      <formula1>$J$237:$J$250</formula1>
    </dataValidation>
    <dataValidation type="whole" allowBlank="1" showInputMessage="1" showErrorMessage="1" sqref="I183">
      <formula1>0</formula1>
      <formula2>24999</formula2>
    </dataValidation>
    <dataValidation type="whole" operator="lessThanOrEqual" allowBlank="1" showInputMessage="1" showErrorMessage="1" sqref="H182">
      <formula1>25000</formula1>
    </dataValidation>
    <dataValidation type="whole" allowBlank="1" showInputMessage="1" showErrorMessage="1" sqref="H183 I182">
      <formula1>0</formula1>
      <formula2>25000</formula2>
    </dataValidation>
    <dataValidation type="list" allowBlank="1" showInputMessage="1" showErrorMessage="1" sqref="I94">
      <formula1>$J$206:$J$209</formula1>
    </dataValidation>
    <dataValidation type="list" allowBlank="1" showInputMessage="1" showErrorMessage="1" sqref="I90">
      <formula1>$J$201:$J$204</formula1>
    </dataValidation>
    <dataValidation type="list" allowBlank="1" showInputMessage="1" showErrorMessage="1" sqref="K85:M85">
      <formula1>$D$271:$D$281</formula1>
    </dataValidation>
    <dataValidation type="list" allowBlank="1" showInputMessage="1" showErrorMessage="1" promptTitle="K award?" prompt="Answer &quot;No&quot; if this is a K award.  _x000a__x000a_Answer &quot;Yes&quot; if there is a K awardee on your budget where the funding source is federal.  Example: NIH R01 grant with a K awardee as a co-investigator." sqref="O20">
      <formula1>$A$275:$A$276</formula1>
    </dataValidation>
    <dataValidation type="list" allowBlank="1" showInputMessage="1" showErrorMessage="1" sqref="F123">
      <formula1>$F$117:$F$122</formula1>
    </dataValidation>
    <dataValidation allowBlank="1" showInputMessage="1" showErrorMessage="1" promptTitle="Confused?" prompt="Do not confuse the FRINGE BENEFIT RATE with the F&amp;A Rate.  This question is about fringe benefits." sqref="J226"/>
    <dataValidation type="list" allowBlank="1" showInputMessage="1" showErrorMessage="1" promptTitle="Not Sure?" prompt="Assume Yes unless otherwise specified in the agency's instructions." sqref="I225">
      <formula1>$A$275:$A$276</formula1>
    </dataValidation>
    <dataValidation type="list" allowBlank="1" showInputMessage="1" showErrorMessage="1" sqref="C168 O21:O27 G194 E125 E228 E113 E252 I235 G258 H188 R20:R27 I197 J198 L198:M198">
      <formula1>$A$275:$A$276</formula1>
    </dataValidation>
    <dataValidation type="list" allowBlank="1" showInputMessage="1" showErrorMessage="1" sqref="E138">
      <formula1>$J$140:$J$165</formula1>
    </dataValidation>
    <dataValidation type="list" allowBlank="1" showInputMessage="1" showErrorMessage="1" sqref="H263 H116:H119 H223">
      <formula1>Subwardsq</formula1>
    </dataValidation>
    <dataValidation type="list" allowBlank="1" showInputMessage="1" showErrorMessage="1" promptTitle="Still not sure?" prompt="PIs generally add new subawards in the Y1 budget tab and continue them in the future years. _x000a__x000a_If you're adding it for the 1st time in this budget year and its value is less than $25,000, answer Yes." sqref="E175">
      <formula1>$A$203:$A$204</formula1>
    </dataValidation>
    <dataValidation type="list" allowBlank="1" showInputMessage="1" showErrorMessage="1" prompt="If you've already included the subaward on your Y1 budget and its Y1 value is equal to or greater than 25K, answer No." sqref="C133">
      <formula1>$A$275:$A$276</formula1>
    </dataValidation>
  </dataValidations>
  <hyperlinks>
    <hyperlink ref="K125" r:id="rId1"/>
    <hyperlink ref="K258" r:id="rId2"/>
    <hyperlink ref="K259" r:id="rId3"/>
  </hyperlinks>
  <pageMargins left="0.25" right="0.25" top="0.25" bottom="0.25" header="0" footer="0"/>
  <pageSetup scale="46" orientation="portrait" horizontalDpi="1200" verticalDpi="1200"/>
  <headerFooter alignWithMargins="0"/>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301"/>
  <sheetViews>
    <sheetView zoomScale="75" zoomScaleNormal="75" zoomScalePageLayoutView="75" workbookViewId="0">
      <selection activeCell="H33" sqref="H33"/>
    </sheetView>
  </sheetViews>
  <sheetFormatPr defaultColWidth="8.88671875" defaultRowHeight="13.8" x14ac:dyDescent="0.25"/>
  <cols>
    <col min="1" max="1" width="26.33203125" style="405" customWidth="1"/>
    <col min="2" max="2" width="25.33203125" style="405" customWidth="1"/>
    <col min="3" max="3" width="14.88671875" style="866" customWidth="1"/>
    <col min="4" max="4" width="10.44140625" style="866" customWidth="1"/>
    <col min="5" max="5" width="12" style="866" customWidth="1"/>
    <col min="6" max="7" width="10.44140625" style="866" customWidth="1"/>
    <col min="8" max="8" width="16.33203125" style="866" customWidth="1"/>
    <col min="9" max="9" width="16.44140625" style="866" customWidth="1"/>
    <col min="10" max="10" width="18.6640625" style="866" customWidth="1"/>
    <col min="11" max="11" width="24.88671875" style="866" customWidth="1"/>
    <col min="12" max="12" width="8.6640625" style="326" hidden="1" customWidth="1"/>
    <col min="13" max="13" width="10.109375" style="326" hidden="1" customWidth="1"/>
    <col min="14" max="14" width="8" style="866" customWidth="1"/>
    <col min="15" max="15" width="9.44140625" style="866" customWidth="1"/>
    <col min="16" max="16" width="11.6640625" style="866" customWidth="1"/>
    <col min="17" max="17" width="1.44140625" style="866" customWidth="1"/>
    <col min="18" max="18" width="7.6640625" style="866" customWidth="1"/>
    <col min="19" max="19" width="7.44140625" style="866" hidden="1" customWidth="1"/>
    <col min="20" max="20" width="9.44140625" style="866" hidden="1" customWidth="1"/>
    <col min="21" max="21" width="8" style="866" customWidth="1"/>
    <col min="22" max="22" width="9.109375" style="866" customWidth="1"/>
    <col min="23" max="23" width="7.44140625" style="866" customWidth="1"/>
    <col min="24" max="24" width="2.88671875" style="866" customWidth="1"/>
    <col min="25" max="25" width="14.109375" style="866" customWidth="1"/>
    <col min="26" max="26" width="11.88671875" style="868" customWidth="1"/>
    <col min="27" max="27" width="10.88671875" style="868" customWidth="1"/>
    <col min="28" max="28" width="1.6640625" style="866" customWidth="1"/>
    <col min="29" max="29" width="13.109375" style="866" customWidth="1"/>
    <col min="30" max="30" width="12.44140625" style="868" customWidth="1"/>
    <col min="31" max="31" width="12.33203125" style="868" customWidth="1"/>
    <col min="32" max="32" width="1" style="866" customWidth="1"/>
    <col min="33" max="33" width="10.109375" style="866" hidden="1" customWidth="1"/>
    <col min="34" max="34" width="8.88671875" style="866" hidden="1" customWidth="1"/>
    <col min="35" max="35" width="1.44140625" style="866" hidden="1" customWidth="1"/>
    <col min="36" max="36" width="10" style="866" hidden="1" customWidth="1"/>
    <col min="37" max="37" width="9.88671875" style="866" hidden="1" customWidth="1"/>
    <col min="38" max="38" width="1" style="866" hidden="1" customWidth="1"/>
    <col min="39" max="39" width="11" style="866" hidden="1" customWidth="1"/>
    <col min="40" max="40" width="10.88671875" style="866" hidden="1" customWidth="1"/>
    <col min="41" max="41" width="11.88671875" style="866" hidden="1" customWidth="1"/>
    <col min="42" max="42" width="10.33203125" style="866" customWidth="1"/>
    <col min="43" max="43" width="8.88671875" style="866" customWidth="1"/>
    <col min="44" max="52" width="8.88671875" style="866"/>
    <col min="53" max="16384" width="8.88671875" style="867"/>
  </cols>
  <sheetData>
    <row r="1" spans="1:78" x14ac:dyDescent="0.25">
      <c r="A1" s="863" t="s">
        <v>411</v>
      </c>
      <c r="B1" s="864"/>
      <c r="C1" s="865"/>
      <c r="D1" s="865"/>
      <c r="E1" s="865"/>
      <c r="F1" s="865"/>
      <c r="G1" s="865"/>
      <c r="H1" s="865"/>
      <c r="I1" s="865"/>
      <c r="J1" s="865"/>
      <c r="K1" s="865"/>
      <c r="L1" s="866"/>
      <c r="M1" s="866"/>
      <c r="V1" s="867"/>
      <c r="X1" s="868"/>
      <c r="Y1" s="868"/>
      <c r="Z1" s="866"/>
      <c r="AA1" s="866"/>
      <c r="AB1" s="868"/>
      <c r="AC1" s="868"/>
      <c r="AD1" s="867"/>
      <c r="AE1" s="867"/>
      <c r="AF1" s="867"/>
      <c r="AG1" s="867"/>
      <c r="AH1" s="867"/>
      <c r="AI1" s="867"/>
      <c r="AJ1" s="867"/>
      <c r="AK1" s="129" t="e">
        <f>#REF!*#REF!</f>
        <v>#REF!</v>
      </c>
      <c r="AL1" s="129" t="e">
        <f>#REF!*#REF!</f>
        <v>#REF!</v>
      </c>
      <c r="AM1" s="129" t="e">
        <f>#REF!*#REF!</f>
        <v>#REF!</v>
      </c>
      <c r="BA1" s="869"/>
      <c r="BB1" s="869"/>
      <c r="BC1" s="869"/>
      <c r="BD1" s="869"/>
      <c r="BE1" s="869"/>
      <c r="BF1" s="869"/>
      <c r="BG1" s="869"/>
      <c r="BH1" s="869"/>
      <c r="BI1" s="869"/>
      <c r="BJ1" s="869"/>
      <c r="BK1" s="869"/>
      <c r="BL1" s="869"/>
      <c r="BM1" s="869"/>
      <c r="BN1" s="869"/>
      <c r="BO1" s="869"/>
      <c r="BP1" s="869"/>
      <c r="BQ1" s="869"/>
      <c r="BR1" s="869"/>
      <c r="BS1" s="869"/>
      <c r="BT1" s="869"/>
      <c r="BU1" s="869"/>
      <c r="BV1" s="869"/>
      <c r="BW1" s="869"/>
      <c r="BX1" s="869"/>
      <c r="BY1" s="869"/>
      <c r="BZ1" s="869"/>
    </row>
    <row r="2" spans="1:78" ht="14.4" x14ac:dyDescent="0.25">
      <c r="A2" s="885" t="s">
        <v>418</v>
      </c>
      <c r="B2" s="871"/>
      <c r="C2" s="872"/>
      <c r="D2" s="872"/>
      <c r="E2" s="872"/>
      <c r="F2" s="872"/>
      <c r="G2" s="872"/>
      <c r="H2" s="872"/>
      <c r="I2" s="872"/>
      <c r="J2" s="872"/>
      <c r="K2" s="872"/>
      <c r="L2" s="867"/>
      <c r="M2" s="867"/>
      <c r="N2" s="867"/>
      <c r="O2" s="867"/>
      <c r="P2" s="867"/>
      <c r="Q2" s="867"/>
      <c r="R2" s="867"/>
      <c r="S2" s="867"/>
      <c r="T2" s="867"/>
      <c r="U2" s="867"/>
      <c r="V2" s="867"/>
      <c r="W2" s="867"/>
      <c r="X2" s="873"/>
      <c r="Y2" s="873"/>
      <c r="Z2" s="867"/>
      <c r="AA2" s="867"/>
      <c r="AB2" s="873"/>
      <c r="AC2" s="873"/>
      <c r="AD2" s="867"/>
      <c r="AE2" s="867"/>
      <c r="AF2" s="867"/>
      <c r="AG2" s="867"/>
      <c r="AH2" s="867"/>
      <c r="AI2" s="867"/>
      <c r="AJ2" s="867"/>
      <c r="AK2" s="867"/>
      <c r="AL2" s="867"/>
      <c r="AM2" s="867"/>
      <c r="BA2" s="869"/>
      <c r="BB2" s="869"/>
      <c r="BC2" s="869"/>
      <c r="BD2" s="869"/>
      <c r="BE2" s="869"/>
      <c r="BF2" s="869"/>
      <c r="BG2" s="869"/>
      <c r="BH2" s="869"/>
      <c r="BI2" s="869"/>
      <c r="BJ2" s="869"/>
      <c r="BK2" s="869"/>
      <c r="BL2" s="869"/>
      <c r="BM2" s="869"/>
      <c r="BN2" s="869"/>
      <c r="BO2" s="869"/>
      <c r="BP2" s="869"/>
      <c r="BQ2" s="869"/>
      <c r="BR2" s="869"/>
      <c r="BS2" s="869"/>
      <c r="BT2" s="869"/>
      <c r="BU2" s="869"/>
      <c r="BV2" s="869"/>
      <c r="BW2" s="869"/>
      <c r="BX2" s="869"/>
      <c r="BY2" s="869"/>
      <c r="BZ2" s="869"/>
    </row>
    <row r="3" spans="1:78" ht="14.4" x14ac:dyDescent="0.25">
      <c r="A3" s="885" t="s">
        <v>413</v>
      </c>
      <c r="B3" s="871"/>
      <c r="C3" s="872"/>
      <c r="D3" s="872"/>
      <c r="E3" s="872"/>
      <c r="F3" s="872"/>
      <c r="G3" s="872"/>
      <c r="H3" s="872"/>
      <c r="I3" s="872"/>
      <c r="J3" s="872"/>
      <c r="K3" s="872"/>
      <c r="L3" s="867"/>
      <c r="M3" s="867"/>
      <c r="N3" s="867"/>
      <c r="O3" s="867"/>
      <c r="P3" s="867"/>
      <c r="Q3" s="867"/>
      <c r="R3" s="867"/>
      <c r="S3" s="867"/>
      <c r="T3" s="867"/>
      <c r="U3" s="867"/>
      <c r="V3" s="867"/>
      <c r="W3" s="867"/>
      <c r="X3" s="873"/>
      <c r="Y3" s="873"/>
      <c r="Z3" s="867"/>
      <c r="AA3" s="867"/>
      <c r="AB3" s="873"/>
      <c r="AC3" s="873"/>
      <c r="AD3" s="867"/>
      <c r="AE3" s="867"/>
      <c r="AF3" s="867"/>
      <c r="AG3" s="867"/>
      <c r="AH3" s="867"/>
      <c r="AI3" s="867"/>
      <c r="AJ3" s="867"/>
      <c r="AK3" s="867"/>
      <c r="AL3" s="867"/>
      <c r="AM3" s="867"/>
      <c r="BA3" s="869"/>
      <c r="BB3" s="869"/>
      <c r="BC3" s="869"/>
      <c r="BD3" s="869"/>
      <c r="BE3" s="869"/>
      <c r="BF3" s="869"/>
      <c r="BG3" s="869"/>
      <c r="BH3" s="869"/>
      <c r="BI3" s="869"/>
      <c r="BJ3" s="869"/>
      <c r="BK3" s="869"/>
      <c r="BL3" s="869"/>
      <c r="BM3" s="869"/>
      <c r="BN3" s="869"/>
      <c r="BO3" s="869"/>
      <c r="BP3" s="869"/>
      <c r="BQ3" s="869"/>
      <c r="BR3" s="869"/>
      <c r="BS3" s="869"/>
      <c r="BT3" s="869"/>
      <c r="BU3" s="869"/>
      <c r="BV3" s="869"/>
      <c r="BW3" s="869"/>
      <c r="BX3" s="869"/>
      <c r="BY3" s="869"/>
      <c r="BZ3" s="869"/>
    </row>
    <row r="4" spans="1:78" ht="14.4" x14ac:dyDescent="0.25">
      <c r="A4" s="885" t="s">
        <v>442</v>
      </c>
      <c r="B4" s="871"/>
      <c r="C4" s="872"/>
      <c r="D4" s="872"/>
      <c r="E4" s="872"/>
      <c r="F4" s="872"/>
      <c r="G4" s="872"/>
      <c r="H4" s="872"/>
      <c r="I4" s="872"/>
      <c r="J4" s="872"/>
      <c r="K4" s="872"/>
      <c r="L4" s="867"/>
      <c r="M4" s="867"/>
      <c r="N4" s="867"/>
      <c r="O4" s="867"/>
      <c r="P4" s="867"/>
      <c r="Q4" s="867"/>
      <c r="R4" s="867"/>
      <c r="S4" s="867"/>
      <c r="T4" s="867"/>
      <c r="U4" s="867"/>
      <c r="V4" s="867"/>
      <c r="W4" s="867"/>
      <c r="X4" s="873"/>
      <c r="Y4" s="873"/>
      <c r="Z4" s="867"/>
      <c r="AA4" s="867"/>
      <c r="AB4" s="873"/>
      <c r="AC4" s="873"/>
      <c r="AD4" s="867"/>
      <c r="AE4" s="867"/>
      <c r="AF4" s="867"/>
      <c r="AG4" s="867"/>
      <c r="AH4" s="867"/>
      <c r="AI4" s="867"/>
      <c r="AJ4" s="867"/>
      <c r="AK4" s="867"/>
      <c r="AL4" s="867"/>
      <c r="AM4" s="867"/>
      <c r="BA4" s="869"/>
      <c r="BB4" s="869"/>
      <c r="BC4" s="869"/>
      <c r="BD4" s="869"/>
      <c r="BE4" s="869"/>
      <c r="BF4" s="869"/>
      <c r="BG4" s="869"/>
      <c r="BH4" s="869"/>
      <c r="BI4" s="869"/>
      <c r="BJ4" s="869"/>
      <c r="BK4" s="869"/>
      <c r="BL4" s="869"/>
      <c r="BM4" s="869"/>
      <c r="BN4" s="869"/>
      <c r="BO4" s="869"/>
      <c r="BP4" s="869"/>
      <c r="BQ4" s="869"/>
      <c r="BR4" s="869"/>
      <c r="BS4" s="869"/>
      <c r="BT4" s="869"/>
      <c r="BU4" s="869"/>
      <c r="BV4" s="869"/>
      <c r="BW4" s="869"/>
      <c r="BX4" s="869"/>
      <c r="BY4" s="869"/>
      <c r="BZ4" s="869"/>
    </row>
    <row r="5" spans="1:78" ht="14.4" x14ac:dyDescent="0.25">
      <c r="A5" s="870" t="s">
        <v>443</v>
      </c>
      <c r="B5" s="871"/>
      <c r="C5" s="872"/>
      <c r="D5" s="872"/>
      <c r="E5" s="872"/>
      <c r="F5" s="872"/>
      <c r="G5" s="872"/>
      <c r="H5" s="872"/>
      <c r="I5" s="872"/>
      <c r="J5" s="872"/>
      <c r="K5" s="872"/>
      <c r="L5" s="867"/>
      <c r="M5" s="867"/>
      <c r="N5" s="867"/>
      <c r="O5" s="867"/>
      <c r="P5" s="867"/>
      <c r="Q5" s="867"/>
      <c r="R5" s="867"/>
      <c r="S5" s="867"/>
      <c r="T5" s="867"/>
      <c r="U5" s="867"/>
      <c r="V5" s="867"/>
      <c r="W5" s="867"/>
      <c r="X5" s="873"/>
      <c r="Y5" s="873"/>
      <c r="Z5" s="867"/>
      <c r="AA5" s="867"/>
      <c r="AB5" s="873"/>
      <c r="AC5" s="873"/>
      <c r="AD5" s="867"/>
      <c r="AE5" s="867"/>
      <c r="AF5" s="867"/>
      <c r="AG5" s="867"/>
      <c r="AH5" s="867"/>
      <c r="AI5" s="867"/>
      <c r="AJ5" s="867"/>
      <c r="AK5" s="867"/>
      <c r="AL5" s="867"/>
      <c r="AM5" s="867"/>
      <c r="BA5" s="869"/>
      <c r="BB5" s="869"/>
      <c r="BC5" s="869"/>
      <c r="BD5" s="869"/>
      <c r="BE5" s="869"/>
      <c r="BF5" s="869"/>
      <c r="BG5" s="869"/>
      <c r="BH5" s="869"/>
      <c r="BI5" s="869"/>
      <c r="BJ5" s="869"/>
      <c r="BK5" s="869"/>
      <c r="BL5" s="869"/>
      <c r="BM5" s="869"/>
      <c r="BN5" s="869"/>
      <c r="BO5" s="869"/>
      <c r="BP5" s="869"/>
      <c r="BQ5" s="869"/>
      <c r="BR5" s="869"/>
      <c r="BS5" s="869"/>
      <c r="BT5" s="869"/>
      <c r="BU5" s="869"/>
      <c r="BV5" s="869"/>
      <c r="BW5" s="869"/>
      <c r="BX5" s="869"/>
      <c r="BY5" s="869"/>
      <c r="BZ5" s="869"/>
    </row>
    <row r="6" spans="1:78" ht="16.5" customHeight="1" x14ac:dyDescent="0.25">
      <c r="A6" s="307"/>
      <c r="B6" s="283"/>
      <c r="C6" s="283"/>
      <c r="D6" s="283" t="s">
        <v>57</v>
      </c>
      <c r="E6" s="283"/>
      <c r="F6" s="283"/>
      <c r="G6" s="283"/>
      <c r="H6" s="283"/>
      <c r="I6" s="283"/>
      <c r="J6" s="283"/>
      <c r="K6" s="284"/>
      <c r="L6" s="700"/>
      <c r="M6" s="700"/>
    </row>
    <row r="7" spans="1:78" ht="6.75" customHeight="1" x14ac:dyDescent="0.25">
      <c r="A7" s="657"/>
      <c r="B7" s="658"/>
      <c r="C7" s="244"/>
      <c r="D7" s="244"/>
      <c r="E7" s="244"/>
      <c r="F7" s="244"/>
      <c r="G7" s="244"/>
      <c r="H7" s="244"/>
      <c r="I7" s="244"/>
      <c r="J7" s="244"/>
      <c r="K7" s="245"/>
      <c r="L7" s="246"/>
      <c r="M7" s="246"/>
    </row>
    <row r="8" spans="1:78" ht="16.5" customHeight="1" x14ac:dyDescent="0.25">
      <c r="A8" s="305" t="s">
        <v>37</v>
      </c>
      <c r="B8" s="219" t="str">
        <f>'Y1'!B8</f>
        <v>enter PI name in this cell on Y1 tab</v>
      </c>
      <c r="C8" s="280"/>
      <c r="D8" s="246"/>
      <c r="E8" s="246"/>
      <c r="F8" s="246"/>
      <c r="G8" s="246"/>
      <c r="H8" s="246"/>
      <c r="I8" s="246"/>
      <c r="J8" s="246"/>
      <c r="K8" s="899" t="s">
        <v>450</v>
      </c>
      <c r="L8" s="246"/>
      <c r="M8" s="246"/>
    </row>
    <row r="9" spans="1:78" ht="16.5" customHeight="1" x14ac:dyDescent="0.25">
      <c r="A9" s="305" t="s">
        <v>38</v>
      </c>
      <c r="B9" s="219" t="str">
        <f>'Y1'!B9</f>
        <v>enter funding agency name in this cell on Y1 tab</v>
      </c>
      <c r="C9" s="280"/>
      <c r="D9" s="246"/>
      <c r="E9" s="246"/>
      <c r="F9" s="246"/>
      <c r="G9" s="246"/>
      <c r="H9" s="246"/>
      <c r="I9" s="246"/>
      <c r="J9" s="246"/>
      <c r="K9" s="285"/>
      <c r="L9" s="246"/>
      <c r="M9" s="246"/>
    </row>
    <row r="10" spans="1:78" s="904" customFormat="1" ht="16.5" customHeight="1" x14ac:dyDescent="0.25">
      <c r="A10" s="305" t="s">
        <v>39</v>
      </c>
      <c r="B10" s="219" t="str">
        <f>'Y1'!B10</f>
        <v>enter project title in this cell on Y1 tab</v>
      </c>
      <c r="C10" s="280"/>
      <c r="D10" s="275"/>
      <c r="E10" s="275"/>
      <c r="F10" s="275"/>
      <c r="G10" s="275"/>
      <c r="H10" s="275"/>
      <c r="I10" s="275"/>
      <c r="J10" s="275"/>
      <c r="K10" s="286"/>
      <c r="L10" s="275"/>
      <c r="M10" s="275"/>
      <c r="N10" s="912"/>
      <c r="O10" s="912"/>
      <c r="P10" s="912"/>
      <c r="Q10" s="912"/>
      <c r="R10" s="912"/>
      <c r="S10" s="912"/>
      <c r="T10" s="912"/>
      <c r="U10" s="912"/>
      <c r="V10" s="912"/>
      <c r="W10" s="912"/>
      <c r="X10" s="912"/>
      <c r="Y10" s="912"/>
      <c r="Z10" s="911"/>
      <c r="AA10" s="911"/>
      <c r="AB10" s="912"/>
      <c r="AC10" s="912"/>
      <c r="AD10" s="911"/>
      <c r="AE10" s="911"/>
      <c r="AF10" s="912"/>
      <c r="AG10" s="912"/>
      <c r="AH10" s="912"/>
      <c r="AI10" s="912"/>
      <c r="AJ10" s="912"/>
      <c r="AK10" s="912"/>
      <c r="AL10" s="912"/>
      <c r="AM10" s="912"/>
      <c r="AN10" s="912"/>
      <c r="AO10" s="912"/>
      <c r="AP10" s="912"/>
      <c r="AQ10" s="912"/>
      <c r="AR10" s="912"/>
      <c r="AS10" s="912"/>
      <c r="AT10" s="912"/>
      <c r="AU10" s="912"/>
      <c r="AV10" s="912"/>
      <c r="AW10" s="912"/>
      <c r="AX10" s="912"/>
      <c r="AY10" s="912"/>
      <c r="AZ10" s="912"/>
    </row>
    <row r="11" spans="1:78" s="904" customFormat="1" ht="16.5" customHeight="1" x14ac:dyDescent="0.25">
      <c r="A11" s="306" t="s">
        <v>40</v>
      </c>
      <c r="B11" s="304" t="s">
        <v>295</v>
      </c>
      <c r="C11" s="280"/>
      <c r="D11" s="275"/>
      <c r="E11" s="275"/>
      <c r="F11" s="275"/>
      <c r="G11" s="275"/>
      <c r="H11" s="275"/>
      <c r="I11" s="275"/>
      <c r="J11" s="275"/>
      <c r="K11" s="286"/>
      <c r="L11" s="275"/>
      <c r="M11" s="275"/>
      <c r="N11" s="912"/>
      <c r="O11" s="912"/>
      <c r="P11" s="912"/>
      <c r="Q11" s="912"/>
      <c r="R11" s="912"/>
      <c r="S11" s="912"/>
      <c r="T11" s="912"/>
      <c r="U11" s="912"/>
      <c r="V11" s="912"/>
      <c r="W11" s="912"/>
      <c r="X11" s="912"/>
      <c r="Y11" s="912"/>
      <c r="Z11" s="911"/>
      <c r="AA11" s="911"/>
      <c r="AB11" s="912"/>
      <c r="AC11" s="912"/>
      <c r="AD11" s="911"/>
      <c r="AE11" s="911"/>
      <c r="AF11" s="912"/>
      <c r="AG11" s="912"/>
      <c r="AH11" s="912"/>
      <c r="AI11" s="912"/>
      <c r="AJ11" s="912"/>
      <c r="AK11" s="912"/>
      <c r="AL11" s="912"/>
      <c r="AM11" s="912"/>
      <c r="AN11" s="912"/>
      <c r="AO11" s="912"/>
      <c r="AP11" s="912"/>
      <c r="AQ11" s="912"/>
      <c r="AR11" s="912"/>
      <c r="AS11" s="912"/>
      <c r="AT11" s="912"/>
      <c r="AU11" s="912"/>
      <c r="AV11" s="912"/>
      <c r="AW11" s="912"/>
      <c r="AX11" s="912"/>
      <c r="AY11" s="912"/>
      <c r="AZ11" s="912"/>
    </row>
    <row r="12" spans="1:78" s="904" customFormat="1" ht="16.5" customHeight="1" x14ac:dyDescent="0.25">
      <c r="A12" s="306" t="s">
        <v>41</v>
      </c>
      <c r="B12" s="219" t="str">
        <f>'Y1'!M8</f>
        <v>enter GCO # in this cell on Y1 tab</v>
      </c>
      <c r="C12" s="280"/>
      <c r="D12" s="275"/>
      <c r="E12" s="275"/>
      <c r="F12" s="275"/>
      <c r="G12" s="275"/>
      <c r="H12" s="275"/>
      <c r="I12" s="275"/>
      <c r="J12" s="275"/>
      <c r="K12" s="286"/>
      <c r="L12" s="275"/>
      <c r="M12" s="275"/>
      <c r="N12" s="912"/>
      <c r="O12" s="912"/>
      <c r="P12" s="912"/>
      <c r="Q12" s="912"/>
      <c r="R12" s="912"/>
      <c r="S12" s="912"/>
      <c r="T12" s="912"/>
      <c r="U12" s="912"/>
      <c r="V12" s="912"/>
      <c r="W12" s="912"/>
      <c r="X12" s="912"/>
      <c r="Y12" s="912"/>
      <c r="Z12" s="911"/>
      <c r="AA12" s="911"/>
      <c r="AB12" s="912"/>
      <c r="AC12" s="912"/>
      <c r="AD12" s="911"/>
      <c r="AE12" s="911"/>
      <c r="AF12" s="912"/>
      <c r="AG12" s="912"/>
      <c r="AH12" s="912"/>
      <c r="AI12" s="912"/>
      <c r="AJ12" s="912"/>
      <c r="AK12" s="912"/>
      <c r="AL12" s="912"/>
      <c r="AM12" s="912"/>
      <c r="AN12" s="912"/>
      <c r="AO12" s="912"/>
      <c r="AP12" s="912"/>
      <c r="AQ12" s="912"/>
      <c r="AR12" s="912"/>
      <c r="AS12" s="912"/>
      <c r="AT12" s="912"/>
      <c r="AU12" s="912"/>
      <c r="AV12" s="912"/>
      <c r="AW12" s="912"/>
      <c r="AX12" s="912"/>
      <c r="AY12" s="912"/>
      <c r="AZ12" s="912"/>
    </row>
    <row r="13" spans="1:78" s="904" customFormat="1" ht="16.5" customHeight="1" x14ac:dyDescent="0.25">
      <c r="A13" s="306" t="s">
        <v>42</v>
      </c>
      <c r="B13" s="219" t="str">
        <f>'Y1'!M9</f>
        <v>enter fund # in this cell on Y1 tab</v>
      </c>
      <c r="C13" s="280"/>
      <c r="D13" s="275"/>
      <c r="E13" s="275"/>
      <c r="F13" s="275"/>
      <c r="G13" s="275"/>
      <c r="H13" s="275"/>
      <c r="I13" s="275"/>
      <c r="J13" s="275"/>
      <c r="K13" s="286"/>
      <c r="L13" s="275"/>
      <c r="M13" s="275"/>
      <c r="N13" s="1509" t="s">
        <v>145</v>
      </c>
      <c r="O13" s="1510"/>
      <c r="P13" s="1511"/>
      <c r="Q13" s="912"/>
      <c r="R13" s="1512" t="s">
        <v>147</v>
      </c>
      <c r="S13" s="1513"/>
      <c r="T13" s="1513"/>
      <c r="U13" s="1513"/>
      <c r="V13" s="1513"/>
      <c r="W13" s="1514"/>
      <c r="X13" s="232"/>
      <c r="Y13" s="267"/>
      <c r="Z13" s="268"/>
      <c r="AA13" s="268"/>
      <c r="AB13" s="269"/>
      <c r="AC13" s="269"/>
      <c r="AD13" s="268"/>
      <c r="AE13" s="270"/>
      <c r="AF13" s="912"/>
      <c r="AG13" s="912"/>
      <c r="AH13" s="912"/>
      <c r="AI13" s="912"/>
      <c r="AJ13" s="912"/>
      <c r="AK13" s="912"/>
      <c r="AL13" s="912"/>
      <c r="AM13" s="912"/>
      <c r="AN13" s="912"/>
      <c r="AO13" s="912"/>
      <c r="AP13" s="912"/>
      <c r="AQ13" s="912"/>
      <c r="AR13" s="912"/>
      <c r="AS13" s="912"/>
      <c r="AT13" s="912"/>
      <c r="AU13" s="912"/>
      <c r="AV13" s="912"/>
      <c r="AW13" s="912"/>
      <c r="AX13" s="912"/>
      <c r="AY13" s="912"/>
      <c r="AZ13" s="912"/>
    </row>
    <row r="14" spans="1:78" s="904" customFormat="1" ht="16.5" customHeight="1" x14ac:dyDescent="0.25">
      <c r="A14" s="306" t="s">
        <v>43</v>
      </c>
      <c r="B14" s="219" t="str">
        <f>'Y1'!M10</f>
        <v>enter agency # in this cell on Y1 tab</v>
      </c>
      <c r="C14" s="281"/>
      <c r="D14" s="275"/>
      <c r="E14" s="275"/>
      <c r="F14" s="275"/>
      <c r="G14" s="275"/>
      <c r="H14" s="275"/>
      <c r="I14" s="275"/>
      <c r="J14" s="275"/>
      <c r="K14" s="286"/>
      <c r="L14" s="275"/>
      <c r="M14" s="275"/>
      <c r="N14" s="233"/>
      <c r="O14" s="1557" t="s">
        <v>195</v>
      </c>
      <c r="P14" s="234"/>
      <c r="Q14" s="912"/>
      <c r="R14" s="235"/>
      <c r="S14" s="236"/>
      <c r="T14" s="237"/>
      <c r="U14" s="1499" t="s">
        <v>154</v>
      </c>
      <c r="V14" s="1499" t="s">
        <v>155</v>
      </c>
      <c r="W14" s="238"/>
      <c r="X14" s="239"/>
      <c r="Y14" s="1479" t="s">
        <v>162</v>
      </c>
      <c r="Z14" s="1480"/>
      <c r="AA14" s="1480"/>
      <c r="AB14" s="1480"/>
      <c r="AC14" s="1480"/>
      <c r="AD14" s="1480"/>
      <c r="AE14" s="1481"/>
      <c r="AF14" s="912"/>
      <c r="AG14" s="1580" t="s">
        <v>187</v>
      </c>
      <c r="AH14" s="1580"/>
      <c r="AI14" s="866"/>
      <c r="AJ14" s="1580" t="s">
        <v>187</v>
      </c>
      <c r="AK14" s="1580"/>
      <c r="AL14" s="866"/>
      <c r="AM14" s="1581" t="s">
        <v>187</v>
      </c>
      <c r="AN14" s="1581"/>
      <c r="AO14" s="866"/>
      <c r="AP14" s="912"/>
      <c r="AQ14" s="912"/>
      <c r="AR14" s="912"/>
      <c r="AS14" s="912"/>
      <c r="AT14" s="912"/>
      <c r="AU14" s="912"/>
      <c r="AV14" s="912"/>
      <c r="AW14" s="912"/>
      <c r="AX14" s="912"/>
      <c r="AY14" s="912"/>
      <c r="AZ14" s="912"/>
    </row>
    <row r="15" spans="1:78" s="904" customFormat="1" ht="16.5" customHeight="1" x14ac:dyDescent="0.3">
      <c r="A15" s="305" t="s">
        <v>105</v>
      </c>
      <c r="B15" s="659" t="s">
        <v>3</v>
      </c>
      <c r="C15" s="282"/>
      <c r="D15" s="275"/>
      <c r="E15" s="275"/>
      <c r="F15" s="275"/>
      <c r="G15" s="275"/>
      <c r="H15" s="275"/>
      <c r="I15" s="1508" t="s">
        <v>44</v>
      </c>
      <c r="J15" s="1508"/>
      <c r="K15" s="1508"/>
      <c r="L15" s="275"/>
      <c r="M15" s="275"/>
      <c r="N15" s="233"/>
      <c r="O15" s="1557"/>
      <c r="P15" s="234"/>
      <c r="Q15" s="912"/>
      <c r="R15" s="1553" t="s">
        <v>148</v>
      </c>
      <c r="S15" s="1499" t="s">
        <v>151</v>
      </c>
      <c r="T15" s="1499" t="s">
        <v>152</v>
      </c>
      <c r="U15" s="1499"/>
      <c r="V15" s="1499"/>
      <c r="W15" s="238"/>
      <c r="X15" s="239"/>
      <c r="Y15" s="1479"/>
      <c r="Z15" s="1480"/>
      <c r="AA15" s="1480"/>
      <c r="AB15" s="1480"/>
      <c r="AC15" s="1480"/>
      <c r="AD15" s="1480"/>
      <c r="AE15" s="1481"/>
      <c r="AF15" s="912"/>
      <c r="AG15" s="701" t="s">
        <v>157</v>
      </c>
      <c r="AH15" s="701" t="s">
        <v>158</v>
      </c>
      <c r="AI15" s="262"/>
      <c r="AJ15" s="701" t="s">
        <v>157</v>
      </c>
      <c r="AK15" s="701" t="s">
        <v>158</v>
      </c>
      <c r="AL15" s="866"/>
      <c r="AM15" s="701" t="s">
        <v>157</v>
      </c>
      <c r="AN15" s="701" t="s">
        <v>158</v>
      </c>
      <c r="AO15" s="912" t="s">
        <v>4</v>
      </c>
      <c r="AP15" s="912"/>
      <c r="AQ15" s="912"/>
      <c r="AR15" s="912"/>
      <c r="AS15" s="912"/>
      <c r="AT15" s="912"/>
      <c r="AU15" s="912"/>
      <c r="AV15" s="912"/>
      <c r="AW15" s="912"/>
      <c r="AX15" s="912"/>
      <c r="AY15" s="912"/>
      <c r="AZ15" s="912"/>
    </row>
    <row r="16" spans="1:78" ht="16.5" customHeight="1" x14ac:dyDescent="0.25">
      <c r="A16" s="866"/>
      <c r="B16" s="529"/>
      <c r="C16" s="262"/>
      <c r="D16" s="262"/>
      <c r="E16" s="262"/>
      <c r="F16" s="262"/>
      <c r="G16" s="262"/>
      <c r="H16" s="262"/>
      <c r="I16" s="661" t="s">
        <v>22</v>
      </c>
      <c r="J16" s="661"/>
      <c r="K16" s="662">
        <v>0.28000000000000003</v>
      </c>
      <c r="L16" s="702"/>
      <c r="M16" s="702"/>
      <c r="N16" s="1555" t="s">
        <v>141</v>
      </c>
      <c r="O16" s="1557"/>
      <c r="P16" s="240"/>
      <c r="R16" s="1553"/>
      <c r="S16" s="1499"/>
      <c r="T16" s="1499"/>
      <c r="U16" s="1499"/>
      <c r="V16" s="1499"/>
      <c r="W16" s="238"/>
      <c r="X16" s="239"/>
      <c r="Y16" s="271"/>
      <c r="Z16" s="272"/>
      <c r="AA16" s="272"/>
      <c r="AB16" s="262"/>
      <c r="AC16" s="262"/>
      <c r="AD16" s="272"/>
      <c r="AE16" s="273"/>
    </row>
    <row r="17" spans="1:41" ht="16.5" customHeight="1" x14ac:dyDescent="0.25">
      <c r="A17" s="604" t="s">
        <v>28</v>
      </c>
      <c r="B17" s="605"/>
      <c r="C17" s="329"/>
      <c r="D17" s="329"/>
      <c r="E17" s="329"/>
      <c r="F17" s="329"/>
      <c r="G17" s="329"/>
      <c r="H17" s="329"/>
      <c r="I17" s="663" t="s">
        <v>21</v>
      </c>
      <c r="J17" s="663"/>
      <c r="K17" s="664">
        <v>0.28999999999999998</v>
      </c>
      <c r="L17" s="702"/>
      <c r="M17" s="702"/>
      <c r="N17" s="1555"/>
      <c r="O17" s="1557"/>
      <c r="P17" s="240"/>
      <c r="R17" s="1553"/>
      <c r="S17" s="1499"/>
      <c r="T17" s="1499"/>
      <c r="U17" s="1499"/>
      <c r="V17" s="1499"/>
      <c r="W17" s="238"/>
      <c r="X17" s="239"/>
      <c r="Y17" s="274"/>
      <c r="Z17" s="272"/>
      <c r="AA17" s="275" t="s">
        <v>31</v>
      </c>
      <c r="AB17" s="262"/>
      <c r="AC17" s="275" t="s">
        <v>185</v>
      </c>
      <c r="AD17" s="272" t="s">
        <v>203</v>
      </c>
      <c r="AE17" s="273" t="s">
        <v>204</v>
      </c>
      <c r="AG17" s="275" t="s">
        <v>31</v>
      </c>
    </row>
    <row r="18" spans="1:41" ht="16.5" customHeight="1" x14ac:dyDescent="0.25">
      <c r="A18" s="341" t="s">
        <v>5</v>
      </c>
      <c r="B18" s="529"/>
      <c r="C18" s="331"/>
      <c r="D18" s="1559" t="s">
        <v>143</v>
      </c>
      <c r="E18" s="1559"/>
      <c r="F18" s="1559" t="s">
        <v>144</v>
      </c>
      <c r="G18" s="1559"/>
      <c r="H18" s="262"/>
      <c r="K18" s="332" t="s">
        <v>160</v>
      </c>
      <c r="L18" s="703"/>
      <c r="M18" s="703"/>
      <c r="N18" s="1556"/>
      <c r="O18" s="1558"/>
      <c r="P18" s="241" t="s">
        <v>131</v>
      </c>
      <c r="R18" s="1554"/>
      <c r="S18" s="1500"/>
      <c r="T18" s="1500"/>
      <c r="U18" s="1500"/>
      <c r="V18" s="1500"/>
      <c r="W18" s="242"/>
      <c r="X18" s="239"/>
      <c r="Y18" s="274"/>
      <c r="Z18" s="276"/>
      <c r="AA18" s="276"/>
      <c r="AB18" s="277" t="s">
        <v>36</v>
      </c>
      <c r="AC18" s="275" t="s">
        <v>186</v>
      </c>
      <c r="AD18" s="278" t="s">
        <v>136</v>
      </c>
      <c r="AE18" s="279" t="s">
        <v>137</v>
      </c>
    </row>
    <row r="19" spans="1:41" ht="30" customHeight="1" thickBot="1" x14ac:dyDescent="0.3">
      <c r="A19" s="606" t="s">
        <v>36</v>
      </c>
      <c r="B19" s="607" t="s">
        <v>25</v>
      </c>
      <c r="C19" s="333" t="s">
        <v>27</v>
      </c>
      <c r="D19" s="333" t="s">
        <v>6</v>
      </c>
      <c r="E19" s="333" t="s">
        <v>20</v>
      </c>
      <c r="F19" s="333" t="s">
        <v>6</v>
      </c>
      <c r="G19" s="333" t="s">
        <v>20</v>
      </c>
      <c r="H19" s="334" t="s">
        <v>7</v>
      </c>
      <c r="I19" s="334" t="s">
        <v>54</v>
      </c>
      <c r="J19" s="334" t="s">
        <v>55</v>
      </c>
      <c r="K19" s="335" t="s">
        <v>8</v>
      </c>
      <c r="L19" s="704"/>
      <c r="M19" s="704"/>
      <c r="N19" s="243"/>
      <c r="O19" s="244"/>
      <c r="P19" s="245"/>
      <c r="R19" s="243"/>
      <c r="S19" s="244"/>
      <c r="T19" s="244"/>
      <c r="U19" s="244"/>
      <c r="V19" s="244"/>
      <c r="W19" s="245"/>
      <c r="X19" s="246"/>
      <c r="Y19" s="488"/>
      <c r="Z19" s="489"/>
      <c r="AA19" s="490"/>
      <c r="AB19" s="491"/>
      <c r="AC19" s="1465" t="s">
        <v>160</v>
      </c>
      <c r="AD19" s="1465"/>
      <c r="AE19" s="1466"/>
      <c r="AG19" s="1464" t="s">
        <v>159</v>
      </c>
      <c r="AH19" s="1464"/>
      <c r="AJ19" s="1466" t="s">
        <v>160</v>
      </c>
      <c r="AK19" s="1466"/>
      <c r="AM19" s="1507" t="s">
        <v>161</v>
      </c>
      <c r="AN19" s="1507"/>
      <c r="AO19" s="1507"/>
    </row>
    <row r="20" spans="1:41" ht="16.5" customHeight="1" thickTop="1" thickBot="1" x14ac:dyDescent="0.3">
      <c r="A20" s="910"/>
      <c r="B20" s="226"/>
      <c r="C20" s="227"/>
      <c r="D20" s="875"/>
      <c r="E20" s="224">
        <f t="shared" ref="E20:E27" si="0">D20*12</f>
        <v>0</v>
      </c>
      <c r="F20" s="223" t="str">
        <f t="shared" ref="F20:F27" si="1">IF(N20=12, "n/a ", IF(AND(N20&lt;12, O20="Yes"), "n/a", D20*P20))</f>
        <v xml:space="preserve">n/a </v>
      </c>
      <c r="G20" s="224" t="str">
        <f t="shared" ref="G20:G27" si="2">IF(N20=12,"n/a",IF(AND(N20&lt;12,O20="Yes"),"n/a",F20*12))</f>
        <v>n/a</v>
      </c>
      <c r="H20" s="398">
        <f>IF(AND(E113="Yes",C20&gt;F123),F123*D20*P20,IF(AND(N20=12,R20="Yes"),C20*U20,IF(AND(N20&lt;12,R20="Yes"),C20*P20*U20,C20*D20*P20)))</f>
        <v>0</v>
      </c>
      <c r="I20" s="223">
        <f t="shared" ref="I20:I27" si="3">IF(AND($C$283="No",$I$225="No"),$J$226,IF(AND($C$283="No",$I$225="Yes"),$K$17,$K$16))</f>
        <v>0.28000000000000003</v>
      </c>
      <c r="J20" s="398">
        <f t="shared" ref="J20:J27" si="4">H20*I20</f>
        <v>0</v>
      </c>
      <c r="K20" s="513">
        <f t="shared" ref="K20:K27" si="5">H20+J20</f>
        <v>0</v>
      </c>
      <c r="L20" s="261"/>
      <c r="M20" s="261"/>
      <c r="N20" s="836">
        <v>12</v>
      </c>
      <c r="O20" s="876" t="s">
        <v>60</v>
      </c>
      <c r="P20" s="637">
        <f t="shared" ref="P20:P27" si="6">N20/12</f>
        <v>1</v>
      </c>
      <c r="R20" s="877" t="s">
        <v>60</v>
      </c>
      <c r="S20" s="248" t="str">
        <f t="shared" ref="S20:S27" si="7">IF(R20="No", " ", U20/D20)</f>
        <v xml:space="preserve"> </v>
      </c>
      <c r="T20" s="249" t="str">
        <f>IF(R20="No", " ", 1-S20)</f>
        <v xml:space="preserve"> </v>
      </c>
      <c r="U20" s="846"/>
      <c r="V20" s="254" t="str">
        <f>IF(AND(N20=12,R20="Yes"),D20-U20,IF(AND(N20&lt;12,R20="Yes"),F20-U20," "))</f>
        <v xml:space="preserve"> </v>
      </c>
      <c r="W20" s="255" t="str">
        <f>IF(AND(N20=12,R20="Yes",U20&gt;D20),"ERROR",IF(AND(N20&lt;12,R20="Yes",U20&gt;F20),"ERROR"," "))</f>
        <v xml:space="preserve"> </v>
      </c>
      <c r="X20" s="697"/>
      <c r="Y20" s="258"/>
      <c r="Z20" s="259"/>
      <c r="AA20" s="259"/>
      <c r="AB20" s="302">
        <f t="shared" ref="AB20:AB27" si="8">A20</f>
        <v>0</v>
      </c>
      <c r="AC20" s="303">
        <f t="shared" ref="AC20:AC27" si="9">K20</f>
        <v>0</v>
      </c>
      <c r="AD20" s="837"/>
      <c r="AE20" s="264">
        <f>1-AD20</f>
        <v>1</v>
      </c>
      <c r="AG20" s="656">
        <f t="shared" ref="AG20:AG27" si="10">K20*Z20</f>
        <v>0</v>
      </c>
      <c r="AH20" s="656">
        <f t="shared" ref="AH20:AH27" si="11">K20*AA20</f>
        <v>0</v>
      </c>
      <c r="AJ20" s="656">
        <f t="shared" ref="AJ20:AJ27" si="12">K20*AD20</f>
        <v>0</v>
      </c>
      <c r="AK20" s="656">
        <f t="shared" ref="AK20:AK27" si="13">K20*AE20</f>
        <v>0</v>
      </c>
      <c r="AM20" s="656">
        <f t="shared" ref="AM20:AN27" si="14">AG20+AJ20</f>
        <v>0</v>
      </c>
      <c r="AN20" s="656">
        <f t="shared" si="14"/>
        <v>0</v>
      </c>
      <c r="AO20" s="656">
        <f>AM20+AN20</f>
        <v>0</v>
      </c>
    </row>
    <row r="21" spans="1:41" ht="16.5" customHeight="1" thickTop="1" thickBot="1" x14ac:dyDescent="0.3">
      <c r="A21" s="910"/>
      <c r="B21" s="226"/>
      <c r="C21" s="227"/>
      <c r="D21" s="875"/>
      <c r="E21" s="224">
        <f t="shared" si="0"/>
        <v>0</v>
      </c>
      <c r="F21" s="223" t="str">
        <f t="shared" si="1"/>
        <v xml:space="preserve">n/a </v>
      </c>
      <c r="G21" s="224" t="str">
        <f t="shared" si="2"/>
        <v>n/a</v>
      </c>
      <c r="H21" s="398">
        <f>IF(AND(N21=12,R21="Yes"),C21*U21,IF(AND(N21&lt;12,R21="Yes"),C21*P21*U21,IF(AND(O21="Yes",R21="No"),C21*D21*P21,C21*D21*P21)))</f>
        <v>0</v>
      </c>
      <c r="I21" s="223">
        <f t="shared" si="3"/>
        <v>0.28000000000000003</v>
      </c>
      <c r="J21" s="398">
        <f t="shared" si="4"/>
        <v>0</v>
      </c>
      <c r="K21" s="513">
        <f t="shared" si="5"/>
        <v>0</v>
      </c>
      <c r="L21" s="261"/>
      <c r="M21" s="261"/>
      <c r="N21" s="836">
        <v>12</v>
      </c>
      <c r="O21" s="876" t="s">
        <v>60</v>
      </c>
      <c r="P21" s="637">
        <f t="shared" si="6"/>
        <v>1</v>
      </c>
      <c r="R21" s="877" t="s">
        <v>60</v>
      </c>
      <c r="S21" s="248" t="str">
        <f t="shared" si="7"/>
        <v xml:space="preserve"> </v>
      </c>
      <c r="T21" s="250" t="str">
        <f t="shared" ref="T21:T27" si="15">IF(R21="No", " ", 1-S21)</f>
        <v xml:space="preserve"> </v>
      </c>
      <c r="U21" s="846"/>
      <c r="V21" s="254" t="str">
        <f>IF(AND(N21=12,R21="Yes"),D21-U21,IF(AND(N21&lt;12,R21="Yes"),F21-U21," "))</f>
        <v xml:space="preserve"> </v>
      </c>
      <c r="W21" s="256" t="str">
        <f>IF(AND(N21=12,R21="Yes",U21&gt;D21),"ERROR",IF(AND(N21&lt;12,R21="Yes",U21&gt;F21),"ERROR"," "))</f>
        <v xml:space="preserve"> </v>
      </c>
      <c r="X21" s="697"/>
      <c r="Y21" s="258"/>
      <c r="Z21" s="259"/>
      <c r="AA21" s="259"/>
      <c r="AB21" s="302">
        <f t="shared" si="8"/>
        <v>0</v>
      </c>
      <c r="AC21" s="303">
        <f t="shared" si="9"/>
        <v>0</v>
      </c>
      <c r="AD21" s="837"/>
      <c r="AE21" s="264">
        <f t="shared" ref="AE21:AE27" si="16">1-AD21</f>
        <v>1</v>
      </c>
      <c r="AG21" s="656">
        <f t="shared" si="10"/>
        <v>0</v>
      </c>
      <c r="AH21" s="656">
        <f t="shared" si="11"/>
        <v>0</v>
      </c>
      <c r="AJ21" s="656">
        <f t="shared" si="12"/>
        <v>0</v>
      </c>
      <c r="AK21" s="656">
        <f t="shared" si="13"/>
        <v>0</v>
      </c>
      <c r="AM21" s="656">
        <f t="shared" si="14"/>
        <v>0</v>
      </c>
      <c r="AN21" s="656">
        <f t="shared" si="14"/>
        <v>0</v>
      </c>
      <c r="AO21" s="656">
        <f t="shared" ref="AO21:AO28" si="17">AM21+AN21</f>
        <v>0</v>
      </c>
    </row>
    <row r="22" spans="1:41" ht="16.5" customHeight="1" thickTop="1" thickBot="1" x14ac:dyDescent="0.3">
      <c r="A22" s="910"/>
      <c r="B22" s="226"/>
      <c r="C22" s="227"/>
      <c r="D22" s="875"/>
      <c r="E22" s="224">
        <f t="shared" si="0"/>
        <v>0</v>
      </c>
      <c r="F22" s="223" t="str">
        <f t="shared" si="1"/>
        <v xml:space="preserve">n/a </v>
      </c>
      <c r="G22" s="224" t="str">
        <f t="shared" si="2"/>
        <v>n/a</v>
      </c>
      <c r="H22" s="398">
        <f t="shared" ref="H22:H27" si="18">IF(AND(N22=12,R22="Yes"),C22*U22,IF(AND(N22&lt;12,R22="Yes"),C22*P22*U22,IF(AND(O22="Yes",R22="No"),C22*D22*P22,C22*D22*P22)))</f>
        <v>0</v>
      </c>
      <c r="I22" s="223">
        <f t="shared" si="3"/>
        <v>0.28000000000000003</v>
      </c>
      <c r="J22" s="398">
        <f t="shared" si="4"/>
        <v>0</v>
      </c>
      <c r="K22" s="513">
        <f t="shared" si="5"/>
        <v>0</v>
      </c>
      <c r="L22" s="261"/>
      <c r="M22" s="261"/>
      <c r="N22" s="836">
        <v>12</v>
      </c>
      <c r="O22" s="876" t="s">
        <v>60</v>
      </c>
      <c r="P22" s="637">
        <f t="shared" si="6"/>
        <v>1</v>
      </c>
      <c r="R22" s="877" t="s">
        <v>60</v>
      </c>
      <c r="S22" s="248" t="str">
        <f t="shared" si="7"/>
        <v xml:space="preserve"> </v>
      </c>
      <c r="T22" s="250" t="str">
        <f t="shared" si="15"/>
        <v xml:space="preserve"> </v>
      </c>
      <c r="U22" s="846"/>
      <c r="V22" s="254" t="str">
        <f t="shared" ref="V22:V27" si="19">IF(AND(N22=12,R22="Yes"),D22-U22,IF(AND(N22&lt;12,R22="Yes"),F22-U22," "))</f>
        <v xml:space="preserve"> </v>
      </c>
      <c r="W22" s="256" t="str">
        <f t="shared" ref="W22:W27" si="20">IF(AND(N22=12,R22="Yes",U22&gt;D22),"ERROR",IF(AND(N22&lt;12,R22="Yes",U22&gt;F22),"ERROR"," "))</f>
        <v xml:space="preserve"> </v>
      </c>
      <c r="X22" s="697"/>
      <c r="Y22" s="258"/>
      <c r="Z22" s="259"/>
      <c r="AA22" s="259"/>
      <c r="AB22" s="302">
        <f t="shared" si="8"/>
        <v>0</v>
      </c>
      <c r="AC22" s="303">
        <f t="shared" si="9"/>
        <v>0</v>
      </c>
      <c r="AD22" s="837"/>
      <c r="AE22" s="264">
        <f t="shared" si="16"/>
        <v>1</v>
      </c>
      <c r="AG22" s="656">
        <f t="shared" si="10"/>
        <v>0</v>
      </c>
      <c r="AH22" s="656">
        <f t="shared" si="11"/>
        <v>0</v>
      </c>
      <c r="AJ22" s="656">
        <f t="shared" si="12"/>
        <v>0</v>
      </c>
      <c r="AK22" s="656">
        <f t="shared" si="13"/>
        <v>0</v>
      </c>
      <c r="AM22" s="656">
        <f t="shared" si="14"/>
        <v>0</v>
      </c>
      <c r="AN22" s="656">
        <f t="shared" si="14"/>
        <v>0</v>
      </c>
      <c r="AO22" s="656">
        <f t="shared" si="17"/>
        <v>0</v>
      </c>
    </row>
    <row r="23" spans="1:41" ht="16.5" customHeight="1" thickTop="1" thickBot="1" x14ac:dyDescent="0.3">
      <c r="A23" s="910"/>
      <c r="B23" s="226"/>
      <c r="C23" s="227"/>
      <c r="D23" s="875"/>
      <c r="E23" s="224">
        <f t="shared" si="0"/>
        <v>0</v>
      </c>
      <c r="F23" s="223" t="str">
        <f t="shared" si="1"/>
        <v xml:space="preserve">n/a </v>
      </c>
      <c r="G23" s="224" t="str">
        <f t="shared" si="2"/>
        <v>n/a</v>
      </c>
      <c r="H23" s="398">
        <f t="shared" si="18"/>
        <v>0</v>
      </c>
      <c r="I23" s="223">
        <f t="shared" si="3"/>
        <v>0.28000000000000003</v>
      </c>
      <c r="J23" s="398">
        <f t="shared" si="4"/>
        <v>0</v>
      </c>
      <c r="K23" s="513">
        <f t="shared" si="5"/>
        <v>0</v>
      </c>
      <c r="L23" s="261"/>
      <c r="M23" s="261"/>
      <c r="N23" s="836">
        <v>12</v>
      </c>
      <c r="O23" s="876" t="s">
        <v>60</v>
      </c>
      <c r="P23" s="637">
        <f t="shared" si="6"/>
        <v>1</v>
      </c>
      <c r="R23" s="877" t="s">
        <v>60</v>
      </c>
      <c r="S23" s="248" t="str">
        <f t="shared" si="7"/>
        <v xml:space="preserve"> </v>
      </c>
      <c r="T23" s="250" t="str">
        <f t="shared" si="15"/>
        <v xml:space="preserve"> </v>
      </c>
      <c r="U23" s="846"/>
      <c r="V23" s="254" t="str">
        <f t="shared" si="19"/>
        <v xml:space="preserve"> </v>
      </c>
      <c r="W23" s="256" t="str">
        <f t="shared" si="20"/>
        <v xml:space="preserve"> </v>
      </c>
      <c r="X23" s="697"/>
      <c r="Y23" s="258"/>
      <c r="Z23" s="259"/>
      <c r="AA23" s="259"/>
      <c r="AB23" s="302">
        <f t="shared" si="8"/>
        <v>0</v>
      </c>
      <c r="AC23" s="303">
        <f t="shared" si="9"/>
        <v>0</v>
      </c>
      <c r="AD23" s="837"/>
      <c r="AE23" s="264">
        <f t="shared" si="16"/>
        <v>1</v>
      </c>
      <c r="AG23" s="656">
        <f t="shared" si="10"/>
        <v>0</v>
      </c>
      <c r="AH23" s="656">
        <f t="shared" si="11"/>
        <v>0</v>
      </c>
      <c r="AJ23" s="656">
        <f t="shared" si="12"/>
        <v>0</v>
      </c>
      <c r="AK23" s="656">
        <f t="shared" si="13"/>
        <v>0</v>
      </c>
      <c r="AM23" s="656">
        <f t="shared" si="14"/>
        <v>0</v>
      </c>
      <c r="AN23" s="656">
        <f t="shared" si="14"/>
        <v>0</v>
      </c>
      <c r="AO23" s="656">
        <f t="shared" si="17"/>
        <v>0</v>
      </c>
    </row>
    <row r="24" spans="1:41" ht="16.5" customHeight="1" thickTop="1" thickBot="1" x14ac:dyDescent="0.3">
      <c r="A24" s="910"/>
      <c r="B24" s="226"/>
      <c r="C24" s="227"/>
      <c r="D24" s="875"/>
      <c r="E24" s="224">
        <f t="shared" si="0"/>
        <v>0</v>
      </c>
      <c r="F24" s="223" t="str">
        <f t="shared" si="1"/>
        <v xml:space="preserve">n/a </v>
      </c>
      <c r="G24" s="224" t="str">
        <f t="shared" si="2"/>
        <v>n/a</v>
      </c>
      <c r="H24" s="398">
        <f t="shared" si="18"/>
        <v>0</v>
      </c>
      <c r="I24" s="223">
        <f t="shared" si="3"/>
        <v>0.28000000000000003</v>
      </c>
      <c r="J24" s="398">
        <f t="shared" si="4"/>
        <v>0</v>
      </c>
      <c r="K24" s="513">
        <f t="shared" si="5"/>
        <v>0</v>
      </c>
      <c r="L24" s="261"/>
      <c r="M24" s="261"/>
      <c r="N24" s="836">
        <v>12</v>
      </c>
      <c r="O24" s="876" t="s">
        <v>60</v>
      </c>
      <c r="P24" s="637">
        <f t="shared" si="6"/>
        <v>1</v>
      </c>
      <c r="R24" s="877" t="s">
        <v>60</v>
      </c>
      <c r="S24" s="248" t="str">
        <f t="shared" si="7"/>
        <v xml:space="preserve"> </v>
      </c>
      <c r="T24" s="250" t="str">
        <f t="shared" si="15"/>
        <v xml:space="preserve"> </v>
      </c>
      <c r="U24" s="846"/>
      <c r="V24" s="254" t="str">
        <f t="shared" si="19"/>
        <v xml:space="preserve"> </v>
      </c>
      <c r="W24" s="256" t="str">
        <f t="shared" si="20"/>
        <v xml:space="preserve"> </v>
      </c>
      <c r="X24" s="697"/>
      <c r="Y24" s="258"/>
      <c r="Z24" s="259"/>
      <c r="AA24" s="259"/>
      <c r="AB24" s="302">
        <f t="shared" si="8"/>
        <v>0</v>
      </c>
      <c r="AC24" s="303">
        <f t="shared" si="9"/>
        <v>0</v>
      </c>
      <c r="AD24" s="837"/>
      <c r="AE24" s="264">
        <f t="shared" si="16"/>
        <v>1</v>
      </c>
      <c r="AG24" s="656">
        <f t="shared" si="10"/>
        <v>0</v>
      </c>
      <c r="AH24" s="656">
        <f t="shared" si="11"/>
        <v>0</v>
      </c>
      <c r="AJ24" s="656">
        <f t="shared" si="12"/>
        <v>0</v>
      </c>
      <c r="AK24" s="656">
        <f t="shared" si="13"/>
        <v>0</v>
      </c>
      <c r="AM24" s="656">
        <f t="shared" si="14"/>
        <v>0</v>
      </c>
      <c r="AN24" s="656">
        <f t="shared" si="14"/>
        <v>0</v>
      </c>
      <c r="AO24" s="656">
        <f t="shared" si="17"/>
        <v>0</v>
      </c>
    </row>
    <row r="25" spans="1:41" ht="16.5" customHeight="1" thickTop="1" thickBot="1" x14ac:dyDescent="0.3">
      <c r="A25" s="910"/>
      <c r="B25" s="226"/>
      <c r="C25" s="227"/>
      <c r="D25" s="875"/>
      <c r="E25" s="224">
        <f t="shared" si="0"/>
        <v>0</v>
      </c>
      <c r="F25" s="223" t="str">
        <f t="shared" si="1"/>
        <v xml:space="preserve">n/a </v>
      </c>
      <c r="G25" s="224" t="str">
        <f t="shared" si="2"/>
        <v>n/a</v>
      </c>
      <c r="H25" s="398">
        <f t="shared" si="18"/>
        <v>0</v>
      </c>
      <c r="I25" s="223">
        <f t="shared" si="3"/>
        <v>0.28000000000000003</v>
      </c>
      <c r="J25" s="398">
        <f t="shared" si="4"/>
        <v>0</v>
      </c>
      <c r="K25" s="513">
        <f t="shared" si="5"/>
        <v>0</v>
      </c>
      <c r="L25" s="261"/>
      <c r="M25" s="261"/>
      <c r="N25" s="836">
        <v>12</v>
      </c>
      <c r="O25" s="876" t="s">
        <v>60</v>
      </c>
      <c r="P25" s="637">
        <f t="shared" si="6"/>
        <v>1</v>
      </c>
      <c r="R25" s="877" t="s">
        <v>60</v>
      </c>
      <c r="S25" s="248" t="str">
        <f t="shared" si="7"/>
        <v xml:space="preserve"> </v>
      </c>
      <c r="T25" s="250" t="str">
        <f t="shared" si="15"/>
        <v xml:space="preserve"> </v>
      </c>
      <c r="U25" s="846"/>
      <c r="V25" s="254" t="str">
        <f t="shared" si="19"/>
        <v xml:space="preserve"> </v>
      </c>
      <c r="W25" s="256" t="str">
        <f t="shared" si="20"/>
        <v xml:space="preserve"> </v>
      </c>
      <c r="X25" s="697"/>
      <c r="Y25" s="258"/>
      <c r="Z25" s="259"/>
      <c r="AA25" s="259"/>
      <c r="AB25" s="302">
        <f t="shared" si="8"/>
        <v>0</v>
      </c>
      <c r="AC25" s="303">
        <f t="shared" si="9"/>
        <v>0</v>
      </c>
      <c r="AD25" s="837"/>
      <c r="AE25" s="264">
        <f t="shared" si="16"/>
        <v>1</v>
      </c>
      <c r="AG25" s="656">
        <f t="shared" si="10"/>
        <v>0</v>
      </c>
      <c r="AH25" s="656">
        <f t="shared" si="11"/>
        <v>0</v>
      </c>
      <c r="AJ25" s="656">
        <f t="shared" si="12"/>
        <v>0</v>
      </c>
      <c r="AK25" s="656">
        <f t="shared" si="13"/>
        <v>0</v>
      </c>
      <c r="AM25" s="656">
        <f t="shared" si="14"/>
        <v>0</v>
      </c>
      <c r="AN25" s="656">
        <f t="shared" si="14"/>
        <v>0</v>
      </c>
      <c r="AO25" s="656">
        <f t="shared" si="17"/>
        <v>0</v>
      </c>
    </row>
    <row r="26" spans="1:41" ht="16.5" customHeight="1" thickTop="1" thickBot="1" x14ac:dyDescent="0.3">
      <c r="A26" s="910"/>
      <c r="B26" s="226"/>
      <c r="C26" s="227"/>
      <c r="D26" s="875"/>
      <c r="E26" s="224">
        <f t="shared" si="0"/>
        <v>0</v>
      </c>
      <c r="F26" s="223" t="str">
        <f t="shared" si="1"/>
        <v xml:space="preserve">n/a </v>
      </c>
      <c r="G26" s="224" t="str">
        <f t="shared" si="2"/>
        <v>n/a</v>
      </c>
      <c r="H26" s="398">
        <f t="shared" si="18"/>
        <v>0</v>
      </c>
      <c r="I26" s="223">
        <f t="shared" si="3"/>
        <v>0.28000000000000003</v>
      </c>
      <c r="J26" s="398">
        <f t="shared" si="4"/>
        <v>0</v>
      </c>
      <c r="K26" s="513">
        <f t="shared" si="5"/>
        <v>0</v>
      </c>
      <c r="L26" s="261"/>
      <c r="M26" s="261"/>
      <c r="N26" s="836">
        <v>12</v>
      </c>
      <c r="O26" s="876" t="s">
        <v>60</v>
      </c>
      <c r="P26" s="637">
        <f t="shared" si="6"/>
        <v>1</v>
      </c>
      <c r="R26" s="877" t="s">
        <v>60</v>
      </c>
      <c r="S26" s="248" t="str">
        <f t="shared" si="7"/>
        <v xml:space="preserve"> </v>
      </c>
      <c r="T26" s="250" t="str">
        <f t="shared" si="15"/>
        <v xml:space="preserve"> </v>
      </c>
      <c r="U26" s="846"/>
      <c r="V26" s="254" t="str">
        <f t="shared" si="19"/>
        <v xml:space="preserve"> </v>
      </c>
      <c r="W26" s="256" t="str">
        <f t="shared" si="20"/>
        <v xml:space="preserve"> </v>
      </c>
      <c r="X26" s="697"/>
      <c r="Y26" s="258"/>
      <c r="Z26" s="259"/>
      <c r="AA26" s="259"/>
      <c r="AB26" s="302">
        <f t="shared" si="8"/>
        <v>0</v>
      </c>
      <c r="AC26" s="303">
        <f t="shared" si="9"/>
        <v>0</v>
      </c>
      <c r="AD26" s="837"/>
      <c r="AE26" s="264">
        <f t="shared" si="16"/>
        <v>1</v>
      </c>
      <c r="AG26" s="656">
        <f t="shared" si="10"/>
        <v>0</v>
      </c>
      <c r="AH26" s="656">
        <f t="shared" si="11"/>
        <v>0</v>
      </c>
      <c r="AJ26" s="656">
        <f t="shared" si="12"/>
        <v>0</v>
      </c>
      <c r="AK26" s="656">
        <f t="shared" si="13"/>
        <v>0</v>
      </c>
      <c r="AM26" s="656">
        <f t="shared" si="14"/>
        <v>0</v>
      </c>
      <c r="AN26" s="656">
        <f t="shared" si="14"/>
        <v>0</v>
      </c>
      <c r="AO26" s="656">
        <f t="shared" si="17"/>
        <v>0</v>
      </c>
    </row>
    <row r="27" spans="1:41" ht="16.5" customHeight="1" thickTop="1" x14ac:dyDescent="0.25">
      <c r="A27" s="910"/>
      <c r="B27" s="226"/>
      <c r="C27" s="227"/>
      <c r="D27" s="229"/>
      <c r="E27" s="224">
        <f t="shared" si="0"/>
        <v>0</v>
      </c>
      <c r="F27" s="223" t="str">
        <f t="shared" si="1"/>
        <v xml:space="preserve">n/a </v>
      </c>
      <c r="G27" s="224" t="str">
        <f t="shared" si="2"/>
        <v>n/a</v>
      </c>
      <c r="H27" s="398">
        <f t="shared" si="18"/>
        <v>0</v>
      </c>
      <c r="I27" s="223">
        <f t="shared" si="3"/>
        <v>0.28000000000000003</v>
      </c>
      <c r="J27" s="398">
        <f t="shared" si="4"/>
        <v>0</v>
      </c>
      <c r="K27" s="513">
        <f t="shared" si="5"/>
        <v>0</v>
      </c>
      <c r="L27" s="261"/>
      <c r="M27" s="261"/>
      <c r="N27" s="847">
        <v>12</v>
      </c>
      <c r="O27" s="878" t="s">
        <v>60</v>
      </c>
      <c r="P27" s="638">
        <f t="shared" si="6"/>
        <v>1</v>
      </c>
      <c r="R27" s="879" t="s">
        <v>60</v>
      </c>
      <c r="S27" s="252" t="str">
        <f t="shared" si="7"/>
        <v xml:space="preserve"> </v>
      </c>
      <c r="T27" s="253" t="str">
        <f t="shared" si="15"/>
        <v xml:space="preserve"> </v>
      </c>
      <c r="U27" s="848"/>
      <c r="V27" s="257" t="str">
        <f t="shared" si="19"/>
        <v xml:space="preserve"> </v>
      </c>
      <c r="W27" s="256" t="str">
        <f t="shared" si="20"/>
        <v xml:space="preserve"> </v>
      </c>
      <c r="X27" s="697"/>
      <c r="Y27" s="258"/>
      <c r="Z27" s="259"/>
      <c r="AA27" s="259"/>
      <c r="AB27" s="302">
        <f t="shared" si="8"/>
        <v>0</v>
      </c>
      <c r="AC27" s="303">
        <f t="shared" si="9"/>
        <v>0</v>
      </c>
      <c r="AD27" s="837"/>
      <c r="AE27" s="264">
        <f t="shared" si="16"/>
        <v>1</v>
      </c>
      <c r="AG27" s="656">
        <f t="shared" si="10"/>
        <v>0</v>
      </c>
      <c r="AH27" s="656">
        <f t="shared" si="11"/>
        <v>0</v>
      </c>
      <c r="AJ27" s="656">
        <f t="shared" si="12"/>
        <v>0</v>
      </c>
      <c r="AK27" s="656">
        <f t="shared" si="13"/>
        <v>0</v>
      </c>
      <c r="AM27" s="656">
        <f t="shared" si="14"/>
        <v>0</v>
      </c>
      <c r="AN27" s="656">
        <f t="shared" si="14"/>
        <v>0</v>
      </c>
      <c r="AO27" s="656">
        <f t="shared" si="17"/>
        <v>0</v>
      </c>
    </row>
    <row r="28" spans="1:41" ht="14.4" x14ac:dyDescent="0.25">
      <c r="A28" s="293"/>
      <c r="B28" s="294"/>
      <c r="C28" s="295"/>
      <c r="D28" s="295"/>
      <c r="E28" s="296"/>
      <c r="F28" s="296"/>
      <c r="G28" s="296" t="s">
        <v>222</v>
      </c>
      <c r="H28" s="297">
        <v>0</v>
      </c>
      <c r="I28" s="297"/>
      <c r="J28" s="297">
        <v>0</v>
      </c>
      <c r="K28" s="514">
        <f>I28+J28</f>
        <v>0</v>
      </c>
      <c r="L28" s="261"/>
      <c r="M28" s="261"/>
      <c r="N28" s="423"/>
      <c r="O28" s="424"/>
      <c r="P28" s="262"/>
      <c r="X28" s="326"/>
      <c r="Y28" s="260"/>
      <c r="Z28" s="261"/>
      <c r="AA28" s="259"/>
      <c r="AB28" s="262"/>
      <c r="AC28" s="263">
        <v>0</v>
      </c>
      <c r="AD28" s="263">
        <v>0</v>
      </c>
      <c r="AE28" s="273"/>
      <c r="AG28" s="297" t="s">
        <v>138</v>
      </c>
      <c r="AH28" s="297" t="s">
        <v>138</v>
      </c>
      <c r="AJ28" s="297" t="s">
        <v>138</v>
      </c>
      <c r="AK28" s="297" t="s">
        <v>138</v>
      </c>
      <c r="AM28" s="297">
        <v>0</v>
      </c>
      <c r="AN28" s="297">
        <v>0</v>
      </c>
      <c r="AO28" s="420">
        <f t="shared" si="17"/>
        <v>0</v>
      </c>
    </row>
    <row r="29" spans="1:41" ht="16.5" customHeight="1" thickBot="1" x14ac:dyDescent="0.3">
      <c r="A29" s="910" t="s">
        <v>9</v>
      </c>
      <c r="B29" s="300"/>
      <c r="C29" s="301"/>
      <c r="D29" s="301"/>
      <c r="E29" s="301"/>
      <c r="F29" s="301"/>
      <c r="G29" s="301"/>
      <c r="H29" s="298">
        <f>SUM(H20:H28)</f>
        <v>0</v>
      </c>
      <c r="I29" s="298"/>
      <c r="J29" s="298">
        <f>SUM(J20:J28)</f>
        <v>0</v>
      </c>
      <c r="K29" s="299">
        <f>SUM(K20:K28)</f>
        <v>0</v>
      </c>
      <c r="L29" s="705"/>
      <c r="M29" s="705"/>
      <c r="X29" s="326"/>
      <c r="Y29" s="271"/>
      <c r="Z29" s="272"/>
      <c r="AA29" s="272"/>
      <c r="AB29" s="262"/>
      <c r="AC29" s="262"/>
      <c r="AD29" s="272"/>
      <c r="AE29" s="273"/>
      <c r="AG29" s="706">
        <f>SUM(AG20:AG28)</f>
        <v>0</v>
      </c>
      <c r="AH29" s="706">
        <f>SUM(AH20:AH28)</f>
        <v>0</v>
      </c>
      <c r="AJ29" s="706">
        <f>SUM(AJ20:AJ28)</f>
        <v>0</v>
      </c>
      <c r="AK29" s="706">
        <f>SUM(AK20:AK28)</f>
        <v>0</v>
      </c>
      <c r="AM29" s="656">
        <f>SUM(AM20:AM28)</f>
        <v>0</v>
      </c>
      <c r="AN29" s="656">
        <f>SUM(AN20:AN28)</f>
        <v>0</v>
      </c>
      <c r="AO29" s="706">
        <f>SUM(AO20:AO28)</f>
        <v>0</v>
      </c>
    </row>
    <row r="30" spans="1:41" ht="16.5" customHeight="1" x14ac:dyDescent="0.25">
      <c r="A30" s="910"/>
      <c r="B30" s="226"/>
      <c r="C30" s="301"/>
      <c r="D30" s="301"/>
      <c r="E30" s="301"/>
      <c r="F30" s="301"/>
      <c r="G30" s="301"/>
      <c r="H30" s="301"/>
      <c r="I30" s="301"/>
      <c r="J30" s="301"/>
      <c r="K30" s="338"/>
      <c r="L30" s="707"/>
      <c r="M30" s="707"/>
      <c r="X30" s="326"/>
      <c r="Y30" s="271"/>
      <c r="Z30" s="272"/>
      <c r="AA30" s="272"/>
      <c r="AB30" s="262"/>
      <c r="AC30" s="262"/>
      <c r="AD30" s="272"/>
      <c r="AE30" s="273"/>
      <c r="AM30" s="708"/>
      <c r="AN30" s="706"/>
    </row>
    <row r="31" spans="1:41" ht="16.5" customHeight="1" x14ac:dyDescent="0.25">
      <c r="A31" s="341" t="s">
        <v>120</v>
      </c>
      <c r="B31" s="342"/>
      <c r="C31" s="301"/>
      <c r="D31" s="301"/>
      <c r="E31" s="337" t="s">
        <v>159</v>
      </c>
      <c r="F31" s="301"/>
      <c r="G31" s="301"/>
      <c r="H31" s="301"/>
      <c r="I31" s="301"/>
      <c r="J31" s="301"/>
      <c r="K31" s="903" t="s">
        <v>160</v>
      </c>
      <c r="L31" s="709"/>
      <c r="M31" s="709"/>
      <c r="X31" s="326"/>
      <c r="Y31" s="271"/>
      <c r="Z31" s="272"/>
      <c r="AA31" s="272"/>
      <c r="AB31" s="262"/>
      <c r="AC31" s="262"/>
      <c r="AD31" s="272"/>
      <c r="AE31" s="273"/>
    </row>
    <row r="32" spans="1:41" ht="16.5" customHeight="1" x14ac:dyDescent="0.25">
      <c r="A32" s="910"/>
      <c r="B32" s="226"/>
      <c r="C32" s="301"/>
      <c r="D32" s="301"/>
      <c r="E32" s="227"/>
      <c r="F32" s="261"/>
      <c r="G32" s="261"/>
      <c r="H32" s="301"/>
      <c r="I32" s="301"/>
      <c r="J32" s="301"/>
      <c r="K32" s="227"/>
      <c r="L32" s="261"/>
      <c r="M32" s="261"/>
      <c r="X32" s="326"/>
      <c r="Y32" s="271"/>
      <c r="Z32" s="272"/>
      <c r="AA32" s="272"/>
      <c r="AB32" s="262"/>
      <c r="AC32" s="262"/>
      <c r="AD32" s="272"/>
      <c r="AE32" s="273"/>
    </row>
    <row r="33" spans="1:41" ht="16.5" customHeight="1" x14ac:dyDescent="0.25">
      <c r="A33" s="910"/>
      <c r="B33" s="226"/>
      <c r="C33" s="301"/>
      <c r="D33" s="301"/>
      <c r="E33" s="227"/>
      <c r="F33" s="261"/>
      <c r="G33" s="261"/>
      <c r="H33" s="301"/>
      <c r="I33" s="301"/>
      <c r="J33" s="301"/>
      <c r="K33" s="339"/>
      <c r="L33" s="261"/>
      <c r="M33" s="261"/>
      <c r="X33" s="326"/>
      <c r="Y33" s="271"/>
      <c r="Z33" s="272"/>
      <c r="AA33" s="272"/>
      <c r="AB33" s="262"/>
      <c r="AC33" s="262"/>
      <c r="AD33" s="272"/>
      <c r="AE33" s="273"/>
    </row>
    <row r="34" spans="1:41" ht="16.5" customHeight="1" thickBot="1" x14ac:dyDescent="0.35">
      <c r="A34" s="574" t="s">
        <v>121</v>
      </c>
      <c r="B34" s="574"/>
      <c r="C34" s="574"/>
      <c r="D34" s="574"/>
      <c r="E34" s="574"/>
      <c r="F34" s="574"/>
      <c r="G34" s="574"/>
      <c r="H34" s="574"/>
      <c r="I34" s="574"/>
      <c r="J34" s="651"/>
      <c r="K34" s="299">
        <f>SUM(E32:E33)+SUM(K32:K33)</f>
        <v>0</v>
      </c>
      <c r="L34" s="705"/>
      <c r="M34" s="705"/>
      <c r="N34" s="425" t="s">
        <v>45</v>
      </c>
      <c r="O34" s="425"/>
      <c r="X34" s="326"/>
      <c r="Y34" s="274" t="s">
        <v>168</v>
      </c>
      <c r="Z34" s="272" t="s">
        <v>203</v>
      </c>
      <c r="AA34" s="272" t="s">
        <v>204</v>
      </c>
      <c r="AB34" s="262"/>
      <c r="AC34" s="275" t="s">
        <v>168</v>
      </c>
      <c r="AD34" s="272" t="s">
        <v>203</v>
      </c>
      <c r="AE34" s="273" t="s">
        <v>204</v>
      </c>
      <c r="AG34" s="275" t="s">
        <v>168</v>
      </c>
    </row>
    <row r="35" spans="1:41" ht="16.5" customHeight="1" x14ac:dyDescent="0.25">
      <c r="A35" s="910"/>
      <c r="B35" s="226"/>
      <c r="C35" s="301"/>
      <c r="D35" s="340"/>
      <c r="E35" s="301"/>
      <c r="F35" s="261"/>
      <c r="G35" s="261"/>
      <c r="H35" s="301"/>
      <c r="I35" s="301"/>
      <c r="J35" s="301"/>
      <c r="K35" s="338"/>
      <c r="L35" s="707"/>
      <c r="M35" s="707"/>
      <c r="X35" s="326"/>
      <c r="Y35" s="274" t="s">
        <v>167</v>
      </c>
      <c r="Z35" s="278" t="s">
        <v>136</v>
      </c>
      <c r="AA35" s="278" t="s">
        <v>137</v>
      </c>
      <c r="AB35" s="262"/>
      <c r="AC35" s="275" t="s">
        <v>167</v>
      </c>
      <c r="AD35" s="278" t="s">
        <v>136</v>
      </c>
      <c r="AE35" s="279" t="s">
        <v>137</v>
      </c>
      <c r="AG35" s="275"/>
    </row>
    <row r="36" spans="1:41" ht="16.5" customHeight="1" x14ac:dyDescent="0.25">
      <c r="A36" s="341" t="s">
        <v>13</v>
      </c>
      <c r="B36" s="342"/>
      <c r="C36" s="301"/>
      <c r="D36" s="301"/>
      <c r="E36" s="902" t="s">
        <v>159</v>
      </c>
      <c r="F36" s="261"/>
      <c r="G36" s="261"/>
      <c r="H36" s="301"/>
      <c r="I36" s="301"/>
      <c r="J36" s="301"/>
      <c r="K36" s="903" t="s">
        <v>160</v>
      </c>
      <c r="L36" s="709"/>
      <c r="M36" s="709"/>
      <c r="Y36" s="1463" t="s">
        <v>159</v>
      </c>
      <c r="Z36" s="1464"/>
      <c r="AA36" s="1464"/>
      <c r="AB36" s="262"/>
      <c r="AC36" s="1465" t="s">
        <v>160</v>
      </c>
      <c r="AD36" s="1465"/>
      <c r="AE36" s="1466"/>
      <c r="AG36" s="1464" t="s">
        <v>159</v>
      </c>
      <c r="AH36" s="1464"/>
      <c r="AJ36" s="1466" t="s">
        <v>160</v>
      </c>
      <c r="AK36" s="1466"/>
      <c r="AM36" s="1506" t="s">
        <v>161</v>
      </c>
      <c r="AN36" s="1506"/>
      <c r="AO36" s="1506"/>
    </row>
    <row r="37" spans="1:41" ht="16.5" customHeight="1" x14ac:dyDescent="0.25">
      <c r="A37" s="910"/>
      <c r="B37" s="226"/>
      <c r="C37" s="301"/>
      <c r="E37" s="227"/>
      <c r="F37" s="261"/>
      <c r="G37" s="261"/>
      <c r="H37" s="301"/>
      <c r="I37" s="301"/>
      <c r="J37" s="301"/>
      <c r="K37" s="227"/>
      <c r="L37" s="261"/>
      <c r="M37" s="261"/>
      <c r="Y37" s="643">
        <f>E37</f>
        <v>0</v>
      </c>
      <c r="Z37" s="837"/>
      <c r="AA37" s="495">
        <f>1-Z37</f>
        <v>1</v>
      </c>
      <c r="AB37" s="493"/>
      <c r="AC37" s="644">
        <f>K37</f>
        <v>0</v>
      </c>
      <c r="AD37" s="837"/>
      <c r="AE37" s="264">
        <f>1-AD37</f>
        <v>1</v>
      </c>
      <c r="AG37" s="656">
        <f>E37*Z37</f>
        <v>0</v>
      </c>
      <c r="AH37" s="656">
        <f>E37*AA37</f>
        <v>0</v>
      </c>
      <c r="AJ37" s="656">
        <f>K37*AD37</f>
        <v>0</v>
      </c>
      <c r="AK37" s="656">
        <f>K37*AE37</f>
        <v>0</v>
      </c>
      <c r="AM37" s="656">
        <f>AG37+AJ37</f>
        <v>0</v>
      </c>
      <c r="AN37" s="656">
        <f>AH37+AK37</f>
        <v>0</v>
      </c>
      <c r="AO37" s="656">
        <f>SUM(AM37:AN37)</f>
        <v>0</v>
      </c>
    </row>
    <row r="38" spans="1:41" ht="16.5" customHeight="1" x14ac:dyDescent="0.25">
      <c r="A38" s="910"/>
      <c r="B38" s="226"/>
      <c r="C38" s="301"/>
      <c r="E38" s="227"/>
      <c r="F38" s="261"/>
      <c r="G38" s="261"/>
      <c r="H38" s="301"/>
      <c r="I38" s="343"/>
      <c r="J38" s="296" t="s">
        <v>223</v>
      </c>
      <c r="K38" s="382">
        <v>0</v>
      </c>
      <c r="L38" s="261"/>
      <c r="M38" s="261"/>
      <c r="Y38" s="643">
        <f>E38</f>
        <v>0</v>
      </c>
      <c r="Z38" s="837"/>
      <c r="AA38" s="495">
        <f>1-Z38</f>
        <v>1</v>
      </c>
      <c r="AB38" s="493"/>
      <c r="AC38" s="263">
        <v>0</v>
      </c>
      <c r="AD38" s="263">
        <v>0</v>
      </c>
      <c r="AE38" s="273"/>
      <c r="AG38" s="420">
        <f>E38*Z38</f>
        <v>0</v>
      </c>
      <c r="AH38" s="420">
        <f>E38*AA38</f>
        <v>0</v>
      </c>
      <c r="AI38" s="262"/>
      <c r="AJ38" s="297">
        <v>0</v>
      </c>
      <c r="AK38" s="297">
        <v>0</v>
      </c>
      <c r="AM38" s="420">
        <f>AG38+AJ38</f>
        <v>0</v>
      </c>
      <c r="AN38" s="420">
        <f>AH38+AK38</f>
        <v>0</v>
      </c>
      <c r="AO38" s="420">
        <f t="shared" ref="AO38:AO39" si="21">SUM(AM38:AN38)</f>
        <v>0</v>
      </c>
    </row>
    <row r="39" spans="1:41" ht="16.5" customHeight="1" thickBot="1" x14ac:dyDescent="0.3">
      <c r="A39" s="574" t="s">
        <v>14</v>
      </c>
      <c r="B39" s="574"/>
      <c r="C39" s="574"/>
      <c r="D39" s="574"/>
      <c r="E39" s="574"/>
      <c r="F39" s="574"/>
      <c r="G39" s="574"/>
      <c r="H39" s="574"/>
      <c r="I39" s="574"/>
      <c r="J39" s="651"/>
      <c r="K39" s="383">
        <f>SUM(E37:E38)+SUM(K37:K38)</f>
        <v>0</v>
      </c>
      <c r="L39" s="710"/>
      <c r="M39" s="710"/>
      <c r="Y39" s="492"/>
      <c r="Z39" s="272"/>
      <c r="AA39" s="272"/>
      <c r="AB39" s="493"/>
      <c r="AC39" s="493"/>
      <c r="AD39" s="272"/>
      <c r="AE39" s="273"/>
      <c r="AG39" s="656">
        <f>SUM(AG37:AG38)</f>
        <v>0</v>
      </c>
      <c r="AH39" s="656">
        <f t="shared" ref="AH39:AK39" si="22">SUM(AH37:AH38)</f>
        <v>0</v>
      </c>
      <c r="AI39" s="656"/>
      <c r="AJ39" s="656">
        <f t="shared" si="22"/>
        <v>0</v>
      </c>
      <c r="AK39" s="656">
        <f t="shared" si="22"/>
        <v>0</v>
      </c>
      <c r="AM39" s="656">
        <f>SUM(AM37:AM38)</f>
        <v>0</v>
      </c>
      <c r="AN39" s="656">
        <f>SUM(AN37:AN38)</f>
        <v>0</v>
      </c>
      <c r="AO39" s="706">
        <f t="shared" si="21"/>
        <v>0</v>
      </c>
    </row>
    <row r="40" spans="1:41" ht="16.5" customHeight="1" x14ac:dyDescent="0.25">
      <c r="A40" s="910"/>
      <c r="B40" s="226"/>
      <c r="C40" s="301"/>
      <c r="D40" s="301"/>
      <c r="E40" s="301"/>
      <c r="F40" s="261"/>
      <c r="G40" s="261"/>
      <c r="H40" s="301"/>
      <c r="I40" s="398"/>
      <c r="J40" s="301"/>
      <c r="K40" s="338"/>
      <c r="L40" s="707"/>
      <c r="M40" s="707"/>
      <c r="Y40" s="494" t="s">
        <v>169</v>
      </c>
      <c r="Z40" s="272" t="s">
        <v>203</v>
      </c>
      <c r="AA40" s="272" t="s">
        <v>204</v>
      </c>
      <c r="AB40" s="493"/>
      <c r="AC40" s="236" t="s">
        <v>169</v>
      </c>
      <c r="AD40" s="272" t="s">
        <v>203</v>
      </c>
      <c r="AE40" s="273" t="s">
        <v>204</v>
      </c>
      <c r="AG40" s="236" t="s">
        <v>169</v>
      </c>
      <c r="AM40" s="708"/>
      <c r="AN40" s="706"/>
    </row>
    <row r="41" spans="1:41" ht="16.5" customHeight="1" x14ac:dyDescent="0.25">
      <c r="A41" s="344" t="s">
        <v>10</v>
      </c>
      <c r="B41" s="342"/>
      <c r="C41" s="301"/>
      <c r="D41" s="301"/>
      <c r="E41" s="337" t="s">
        <v>159</v>
      </c>
      <c r="F41" s="261"/>
      <c r="G41" s="261"/>
      <c r="H41" s="301"/>
      <c r="I41" s="301"/>
      <c r="J41" s="301"/>
      <c r="K41" s="903" t="s">
        <v>160</v>
      </c>
      <c r="L41" s="709"/>
      <c r="M41" s="709"/>
      <c r="Y41" s="494" t="s">
        <v>167</v>
      </c>
      <c r="Z41" s="278" t="s">
        <v>136</v>
      </c>
      <c r="AA41" s="278" t="s">
        <v>137</v>
      </c>
      <c r="AB41" s="493"/>
      <c r="AC41" s="236" t="s">
        <v>167</v>
      </c>
      <c r="AD41" s="278" t="s">
        <v>136</v>
      </c>
      <c r="AE41" s="279" t="s">
        <v>137</v>
      </c>
      <c r="AG41" s="236"/>
    </row>
    <row r="42" spans="1:41" ht="16.5" customHeight="1" x14ac:dyDescent="0.25">
      <c r="A42" s="910"/>
      <c r="B42" s="226"/>
      <c r="C42" s="301"/>
      <c r="E42" s="227"/>
      <c r="F42" s="261"/>
      <c r="G42" s="261"/>
      <c r="H42" s="301"/>
      <c r="I42" s="301"/>
      <c r="J42" s="301"/>
      <c r="K42" s="227"/>
      <c r="L42" s="261"/>
      <c r="M42" s="261"/>
      <c r="Y42" s="643">
        <f>E42</f>
        <v>0</v>
      </c>
      <c r="Z42" s="837"/>
      <c r="AA42" s="272">
        <f>1-Z42</f>
        <v>1</v>
      </c>
      <c r="AB42" s="493"/>
      <c r="AC42" s="644">
        <f>K42</f>
        <v>0</v>
      </c>
      <c r="AD42" s="837"/>
      <c r="AE42" s="264">
        <f>1-AD42</f>
        <v>1</v>
      </c>
      <c r="AG42" s="656">
        <f>E42*Z42</f>
        <v>0</v>
      </c>
      <c r="AH42" s="656">
        <f>E42*AA42</f>
        <v>0</v>
      </c>
      <c r="AJ42" s="656">
        <f>K42*AD42</f>
        <v>0</v>
      </c>
      <c r="AK42" s="656">
        <f>K42*AE42</f>
        <v>0</v>
      </c>
      <c r="AM42" s="656">
        <f>AG42+AJ42</f>
        <v>0</v>
      </c>
      <c r="AN42" s="656">
        <f>AH42+AK42</f>
        <v>0</v>
      </c>
      <c r="AO42" s="656">
        <f>SUM(AM42:AN42)</f>
        <v>0</v>
      </c>
    </row>
    <row r="43" spans="1:41" ht="16.5" customHeight="1" x14ac:dyDescent="0.25">
      <c r="A43" s="910"/>
      <c r="B43" s="226"/>
      <c r="C43" s="301"/>
      <c r="E43" s="227"/>
      <c r="F43" s="261"/>
      <c r="G43" s="261"/>
      <c r="H43" s="301"/>
      <c r="I43" s="301"/>
      <c r="J43" s="301"/>
      <c r="K43" s="227"/>
      <c r="L43" s="261"/>
      <c r="M43" s="261"/>
      <c r="Y43" s="643">
        <f>E43</f>
        <v>0</v>
      </c>
      <c r="Z43" s="837"/>
      <c r="AA43" s="272">
        <f t="shared" ref="AA43:AA44" si="23">1-Z43</f>
        <v>1</v>
      </c>
      <c r="AB43" s="493"/>
      <c r="AC43" s="644">
        <f>K43</f>
        <v>0</v>
      </c>
      <c r="AD43" s="837"/>
      <c r="AE43" s="264">
        <f>1-AD43</f>
        <v>1</v>
      </c>
      <c r="AG43" s="415">
        <f>E43*Z43</f>
        <v>0</v>
      </c>
      <c r="AH43" s="415">
        <f>E43*AA43</f>
        <v>0</v>
      </c>
      <c r="AI43" s="262"/>
      <c r="AJ43" s="656">
        <f>K43*AD43</f>
        <v>0</v>
      </c>
      <c r="AK43" s="656">
        <f>K43*AE43</f>
        <v>0</v>
      </c>
      <c r="AL43" s="262"/>
      <c r="AM43" s="656">
        <f t="shared" ref="AM43:AN44" si="24">AG43+AJ43</f>
        <v>0</v>
      </c>
      <c r="AN43" s="656">
        <f t="shared" si="24"/>
        <v>0</v>
      </c>
      <c r="AO43" s="656">
        <f t="shared" ref="AO43:AO45" si="25">SUM(AM43:AN43)</f>
        <v>0</v>
      </c>
    </row>
    <row r="44" spans="1:41" ht="16.5" customHeight="1" x14ac:dyDescent="0.25">
      <c r="A44" s="910"/>
      <c r="B44" s="226"/>
      <c r="C44" s="301"/>
      <c r="E44" s="227"/>
      <c r="F44" s="261"/>
      <c r="G44" s="261"/>
      <c r="H44" s="301"/>
      <c r="I44" s="345"/>
      <c r="J44" s="296" t="s">
        <v>260</v>
      </c>
      <c r="K44" s="382">
        <v>0</v>
      </c>
      <c r="L44" s="261"/>
      <c r="M44" s="261"/>
      <c r="Y44" s="643">
        <f>E44</f>
        <v>0</v>
      </c>
      <c r="Z44" s="837"/>
      <c r="AA44" s="272">
        <f t="shared" si="23"/>
        <v>1</v>
      </c>
      <c r="AB44" s="493"/>
      <c r="AC44" s="263">
        <v>0</v>
      </c>
      <c r="AD44" s="263">
        <v>0</v>
      </c>
      <c r="AE44" s="273"/>
      <c r="AG44" s="420">
        <f>E44*Z44</f>
        <v>0</v>
      </c>
      <c r="AH44" s="420">
        <f>E44*AA44</f>
        <v>0</v>
      </c>
      <c r="AJ44" s="297">
        <v>0</v>
      </c>
      <c r="AK44" s="297">
        <v>0</v>
      </c>
      <c r="AL44" s="262"/>
      <c r="AM44" s="420">
        <f t="shared" si="24"/>
        <v>0</v>
      </c>
      <c r="AN44" s="420">
        <f t="shared" si="24"/>
        <v>0</v>
      </c>
      <c r="AO44" s="420">
        <f t="shared" si="25"/>
        <v>0</v>
      </c>
    </row>
    <row r="45" spans="1:41" ht="16.5" customHeight="1" thickBot="1" x14ac:dyDescent="0.3">
      <c r="A45" s="1578" t="s">
        <v>12</v>
      </c>
      <c r="B45" s="1578"/>
      <c r="C45" s="1578"/>
      <c r="D45" s="1578"/>
      <c r="E45" s="1578"/>
      <c r="F45" s="1578"/>
      <c r="G45" s="1578"/>
      <c r="H45" s="1578"/>
      <c r="I45" s="1578"/>
      <c r="J45" s="1579"/>
      <c r="K45" s="384">
        <f>SUM(E42:E44)+SUM(K42:K44)</f>
        <v>0</v>
      </c>
      <c r="L45" s="710"/>
      <c r="M45" s="710"/>
      <c r="Y45" s="492"/>
      <c r="Z45" s="272"/>
      <c r="AA45" s="272"/>
      <c r="AB45" s="493"/>
      <c r="AC45" s="493"/>
      <c r="AD45" s="272"/>
      <c r="AE45" s="273"/>
      <c r="AG45" s="656">
        <f t="shared" ref="AG45:AK45" si="26">SUM(AG42:AG44)</f>
        <v>0</v>
      </c>
      <c r="AH45" s="656">
        <f t="shared" si="26"/>
        <v>0</v>
      </c>
      <c r="AI45" s="656"/>
      <c r="AJ45" s="656">
        <f t="shared" si="26"/>
        <v>0</v>
      </c>
      <c r="AK45" s="656">
        <f t="shared" si="26"/>
        <v>0</v>
      </c>
      <c r="AL45" s="656"/>
      <c r="AM45" s="656">
        <f>SUM(AM42:AM44)</f>
        <v>0</v>
      </c>
      <c r="AN45" s="656">
        <f>SUM(AN42:AN44)</f>
        <v>0</v>
      </c>
      <c r="AO45" s="706">
        <f t="shared" si="25"/>
        <v>0</v>
      </c>
    </row>
    <row r="46" spans="1:41" ht="16.5" customHeight="1" x14ac:dyDescent="0.25">
      <c r="A46" s="910"/>
      <c r="B46" s="226"/>
      <c r="C46" s="301"/>
      <c r="E46" s="301"/>
      <c r="F46" s="261"/>
      <c r="G46" s="261"/>
      <c r="H46" s="346"/>
      <c r="I46" s="301"/>
      <c r="J46" s="301"/>
      <c r="K46" s="338"/>
      <c r="L46" s="707"/>
      <c r="M46" s="707"/>
      <c r="Y46" s="494" t="s">
        <v>34</v>
      </c>
      <c r="Z46" s="272" t="s">
        <v>203</v>
      </c>
      <c r="AA46" s="272" t="s">
        <v>204</v>
      </c>
      <c r="AB46" s="493"/>
      <c r="AC46" s="236" t="s">
        <v>34</v>
      </c>
      <c r="AD46" s="272" t="s">
        <v>203</v>
      </c>
      <c r="AE46" s="273" t="s">
        <v>204</v>
      </c>
      <c r="AG46" s="236" t="s">
        <v>34</v>
      </c>
      <c r="AM46" s="708"/>
      <c r="AN46" s="706"/>
    </row>
    <row r="47" spans="1:41" ht="16.5" customHeight="1" x14ac:dyDescent="0.25">
      <c r="A47" s="341" t="s">
        <v>15</v>
      </c>
      <c r="B47" s="342"/>
      <c r="C47" s="301"/>
      <c r="E47" s="337" t="s">
        <v>159</v>
      </c>
      <c r="F47" s="261"/>
      <c r="G47" s="261"/>
      <c r="H47" s="301"/>
      <c r="I47" s="301"/>
      <c r="J47" s="301"/>
      <c r="K47" s="903" t="s">
        <v>160</v>
      </c>
      <c r="L47" s="709"/>
      <c r="M47" s="709"/>
      <c r="Y47" s="494" t="s">
        <v>167</v>
      </c>
      <c r="Z47" s="278" t="s">
        <v>136</v>
      </c>
      <c r="AA47" s="278" t="s">
        <v>137</v>
      </c>
      <c r="AB47" s="493"/>
      <c r="AC47" s="236" t="s">
        <v>167</v>
      </c>
      <c r="AD47" s="278" t="s">
        <v>136</v>
      </c>
      <c r="AE47" s="279" t="s">
        <v>137</v>
      </c>
    </row>
    <row r="48" spans="1:41" ht="16.5" customHeight="1" x14ac:dyDescent="0.25">
      <c r="A48" s="910"/>
      <c r="B48" s="226"/>
      <c r="C48" s="301"/>
      <c r="E48" s="227"/>
      <c r="F48" s="261"/>
      <c r="G48" s="261"/>
      <c r="H48" s="301"/>
      <c r="I48" s="301"/>
      <c r="J48" s="301"/>
      <c r="K48" s="227"/>
      <c r="L48" s="261"/>
      <c r="M48" s="261"/>
      <c r="Y48" s="643">
        <f>E48</f>
        <v>0</v>
      </c>
      <c r="Z48" s="837"/>
      <c r="AA48" s="495">
        <f>1-Z48</f>
        <v>1</v>
      </c>
      <c r="AB48" s="493"/>
      <c r="AC48" s="644">
        <f>K48</f>
        <v>0</v>
      </c>
      <c r="AD48" s="837"/>
      <c r="AE48" s="264">
        <f>1-AD48</f>
        <v>1</v>
      </c>
      <c r="AG48" s="656">
        <f>E48*Z48</f>
        <v>0</v>
      </c>
      <c r="AH48" s="656">
        <f>E48*AA48</f>
        <v>0</v>
      </c>
      <c r="AJ48" s="656">
        <f>K48*AD48</f>
        <v>0</v>
      </c>
      <c r="AK48" s="656">
        <f>K48*AE48</f>
        <v>0</v>
      </c>
      <c r="AM48" s="656">
        <f>AG48+AJ48</f>
        <v>0</v>
      </c>
      <c r="AN48" s="656">
        <f>AH48+AK48</f>
        <v>0</v>
      </c>
      <c r="AO48" s="656">
        <f>SUM(AM48:AN48)</f>
        <v>0</v>
      </c>
    </row>
    <row r="49" spans="1:41" ht="16.5" customHeight="1" x14ac:dyDescent="0.25">
      <c r="A49" s="910"/>
      <c r="B49" s="226"/>
      <c r="C49" s="301"/>
      <c r="E49" s="227"/>
      <c r="F49" s="261"/>
      <c r="G49" s="261"/>
      <c r="H49" s="301"/>
      <c r="I49" s="345"/>
      <c r="J49" s="296" t="s">
        <v>261</v>
      </c>
      <c r="K49" s="382">
        <v>0</v>
      </c>
      <c r="L49" s="261"/>
      <c r="M49" s="261"/>
      <c r="Y49" s="643">
        <f>E49</f>
        <v>0</v>
      </c>
      <c r="Z49" s="837"/>
      <c r="AA49" s="495">
        <f>1-Z49</f>
        <v>1</v>
      </c>
      <c r="AB49" s="493"/>
      <c r="AC49" s="263">
        <v>0</v>
      </c>
      <c r="AD49" s="263">
        <v>0</v>
      </c>
      <c r="AE49" s="273"/>
      <c r="AG49" s="420">
        <f>E49*Z49</f>
        <v>0</v>
      </c>
      <c r="AH49" s="420">
        <f>E49*AA49</f>
        <v>0</v>
      </c>
      <c r="AJ49" s="297">
        <v>0</v>
      </c>
      <c r="AK49" s="297">
        <v>0</v>
      </c>
      <c r="AM49" s="420">
        <f>AG49+AJ49</f>
        <v>0</v>
      </c>
      <c r="AN49" s="420">
        <f>AH49+AK49</f>
        <v>0</v>
      </c>
      <c r="AO49" s="420">
        <f>SUM(AM49:AN49)</f>
        <v>0</v>
      </c>
    </row>
    <row r="50" spans="1:41" ht="16.5" customHeight="1" thickBot="1" x14ac:dyDescent="0.3">
      <c r="A50" s="910" t="s">
        <v>16</v>
      </c>
      <c r="B50" s="226"/>
      <c r="C50" s="301"/>
      <c r="D50" s="301"/>
      <c r="E50" s="301"/>
      <c r="F50" s="261"/>
      <c r="G50" s="261"/>
      <c r="H50" s="301"/>
      <c r="I50" s="301"/>
      <c r="J50" s="301"/>
      <c r="K50" s="383">
        <f>SUM(E48:E49)+ SUM(K48:K49)</f>
        <v>0</v>
      </c>
      <c r="L50" s="710"/>
      <c r="M50" s="710"/>
      <c r="Y50" s="492"/>
      <c r="Z50" s="272"/>
      <c r="AA50" s="272"/>
      <c r="AB50" s="493"/>
      <c r="AC50" s="493"/>
      <c r="AD50" s="272"/>
      <c r="AE50" s="273"/>
      <c r="AG50" s="656">
        <f>SUM(AG48:AG49)</f>
        <v>0</v>
      </c>
      <c r="AH50" s="656">
        <f>SUM(AH48:AH49)</f>
        <v>0</v>
      </c>
      <c r="AJ50" s="656">
        <f>AJ48+AJ49</f>
        <v>0</v>
      </c>
      <c r="AK50" s="656">
        <f>AK48+AK49</f>
        <v>0</v>
      </c>
      <c r="AM50" s="656">
        <f>SUM(AM48:AM49)</f>
        <v>0</v>
      </c>
      <c r="AN50" s="656">
        <f>SUM(AN48:AN49)</f>
        <v>0</v>
      </c>
      <c r="AO50" s="706">
        <f>SUM(AM50:AN50)</f>
        <v>0</v>
      </c>
    </row>
    <row r="51" spans="1:41" ht="16.5" customHeight="1" x14ac:dyDescent="0.25">
      <c r="A51" s="910"/>
      <c r="B51" s="226"/>
      <c r="C51" s="301"/>
      <c r="D51" s="301"/>
      <c r="E51" s="301"/>
      <c r="F51" s="261"/>
      <c r="G51" s="261"/>
      <c r="H51" s="301"/>
      <c r="I51" s="301"/>
      <c r="J51" s="301"/>
      <c r="K51" s="338"/>
      <c r="L51" s="707"/>
      <c r="M51" s="707"/>
      <c r="Y51" s="492"/>
      <c r="Z51" s="272"/>
      <c r="AA51" s="272"/>
      <c r="AB51" s="493"/>
      <c r="AC51" s="493"/>
      <c r="AD51" s="272"/>
      <c r="AE51" s="273"/>
      <c r="AM51" s="708"/>
      <c r="AN51" s="706"/>
    </row>
    <row r="52" spans="1:41" ht="16.5" customHeight="1" x14ac:dyDescent="0.25">
      <c r="A52" s="344" t="s">
        <v>29</v>
      </c>
      <c r="B52" s="347"/>
      <c r="C52" s="301"/>
      <c r="D52" s="301"/>
      <c r="E52" s="337" t="s">
        <v>159</v>
      </c>
      <c r="F52" s="326"/>
      <c r="G52" s="326"/>
      <c r="H52" s="301"/>
      <c r="I52" s="301"/>
      <c r="J52" s="301"/>
      <c r="K52" s="903" t="s">
        <v>160</v>
      </c>
      <c r="L52" s="709"/>
      <c r="M52" s="709"/>
      <c r="Y52" s="492"/>
      <c r="Z52" s="272"/>
      <c r="AA52" s="272"/>
      <c r="AB52" s="493"/>
      <c r="AC52" s="493"/>
      <c r="AD52" s="272"/>
      <c r="AE52" s="273"/>
    </row>
    <row r="53" spans="1:41" ht="16.5" customHeight="1" x14ac:dyDescent="0.25">
      <c r="A53" s="910"/>
      <c r="B53" s="348"/>
      <c r="C53" s="349"/>
      <c r="D53" s="350"/>
      <c r="E53" s="227"/>
      <c r="F53" s="261"/>
      <c r="G53" s="261"/>
      <c r="H53" s="349"/>
      <c r="I53" s="301"/>
      <c r="J53" s="301"/>
      <c r="K53" s="385"/>
      <c r="L53" s="711"/>
      <c r="M53" s="711"/>
      <c r="Q53" s="246"/>
      <c r="R53" s="246"/>
      <c r="S53" s="246"/>
      <c r="T53" s="246"/>
      <c r="U53" s="246"/>
      <c r="V53" s="246"/>
      <c r="W53" s="246"/>
      <c r="X53" s="246"/>
      <c r="Y53" s="271"/>
      <c r="Z53" s="259"/>
      <c r="AA53" s="259"/>
      <c r="AB53" s="496"/>
      <c r="AC53" s="496"/>
      <c r="AD53" s="259"/>
      <c r="AE53" s="497"/>
    </row>
    <row r="54" spans="1:41" ht="16.5" customHeight="1" x14ac:dyDescent="0.25">
      <c r="A54" s="910"/>
      <c r="B54" s="348"/>
      <c r="C54" s="349"/>
      <c r="D54" s="350"/>
      <c r="E54" s="227"/>
      <c r="F54" s="261"/>
      <c r="G54" s="261"/>
      <c r="H54" s="349"/>
      <c r="I54" s="345"/>
      <c r="J54" s="296" t="s">
        <v>262</v>
      </c>
      <c r="K54" s="382">
        <v>0</v>
      </c>
      <c r="L54" s="261"/>
      <c r="M54" s="261"/>
      <c r="Q54" s="246"/>
      <c r="R54" s="246"/>
      <c r="S54" s="246"/>
      <c r="T54" s="246"/>
      <c r="U54" s="246"/>
      <c r="V54" s="246"/>
      <c r="W54" s="246"/>
      <c r="X54" s="246"/>
      <c r="Y54" s="271"/>
      <c r="Z54" s="259"/>
      <c r="AA54" s="259"/>
      <c r="AB54" s="496"/>
      <c r="AC54" s="496"/>
      <c r="AD54" s="272" t="s">
        <v>203</v>
      </c>
      <c r="AE54" s="273" t="s">
        <v>204</v>
      </c>
    </row>
    <row r="55" spans="1:41" ht="16.5" customHeight="1" thickBot="1" x14ac:dyDescent="0.35">
      <c r="A55" s="574" t="s">
        <v>30</v>
      </c>
      <c r="B55" s="574"/>
      <c r="C55" s="574"/>
      <c r="D55" s="574"/>
      <c r="E55" s="574"/>
      <c r="F55" s="574"/>
      <c r="G55" s="574"/>
      <c r="H55" s="574"/>
      <c r="I55" s="574"/>
      <c r="J55" s="651"/>
      <c r="K55" s="386">
        <f>SUM(E53:E54)+SUM(K53:K54)</f>
        <v>0</v>
      </c>
      <c r="L55" s="712"/>
      <c r="M55" s="712"/>
      <c r="N55" s="425" t="s">
        <v>45</v>
      </c>
      <c r="O55" s="425"/>
      <c r="Y55" s="271"/>
      <c r="Z55" s="276"/>
      <c r="AA55" s="276"/>
      <c r="AB55" s="262"/>
      <c r="AC55" s="262"/>
      <c r="AD55" s="278" t="s">
        <v>136</v>
      </c>
      <c r="AE55" s="279" t="s">
        <v>137</v>
      </c>
    </row>
    <row r="56" spans="1:41" ht="16.5" customHeight="1" x14ac:dyDescent="0.25">
      <c r="A56" s="910"/>
      <c r="B56" s="226"/>
      <c r="C56" s="350"/>
      <c r="D56" s="350"/>
      <c r="E56" s="350"/>
      <c r="F56" s="350"/>
      <c r="G56" s="350"/>
      <c r="H56" s="226"/>
      <c r="I56" s="226"/>
      <c r="J56" s="226"/>
      <c r="K56" s="338"/>
      <c r="L56" s="707"/>
      <c r="M56" s="707"/>
      <c r="Y56" s="1467"/>
      <c r="Z56" s="1468"/>
      <c r="AA56" s="498"/>
      <c r="AB56" s="262"/>
      <c r="AC56" s="1465" t="s">
        <v>160</v>
      </c>
      <c r="AD56" s="1465"/>
      <c r="AE56" s="1466"/>
    </row>
    <row r="57" spans="1:41" ht="16.5" customHeight="1" x14ac:dyDescent="0.25">
      <c r="A57" s="344" t="s">
        <v>68</v>
      </c>
      <c r="B57" s="342"/>
      <c r="C57" s="301"/>
      <c r="D57" s="301"/>
      <c r="E57" s="301"/>
      <c r="F57" s="301"/>
      <c r="G57" s="301"/>
      <c r="H57" s="262"/>
      <c r="I57" s="351" t="s">
        <v>72</v>
      </c>
      <c r="J57" s="351" t="s">
        <v>73</v>
      </c>
      <c r="K57" s="903" t="s">
        <v>160</v>
      </c>
      <c r="L57" s="709"/>
      <c r="M57" s="709"/>
      <c r="Y57" s="271"/>
      <c r="Z57" s="259"/>
      <c r="AA57" s="259"/>
      <c r="AB57" s="493"/>
      <c r="AC57" s="493"/>
      <c r="AD57" s="499" t="s">
        <v>171</v>
      </c>
      <c r="AE57" s="500"/>
      <c r="AF57" s="419"/>
      <c r="AH57" s="419"/>
      <c r="AJ57" s="499" t="s">
        <v>171</v>
      </c>
      <c r="AK57" s="419"/>
      <c r="AM57" s="419"/>
      <c r="AN57" s="419"/>
      <c r="AO57" s="419"/>
    </row>
    <row r="58" spans="1:41" ht="16.5" customHeight="1" x14ac:dyDescent="0.25">
      <c r="A58" s="910"/>
      <c r="B58" s="226"/>
      <c r="C58" s="301"/>
      <c r="D58" s="301"/>
      <c r="E58" s="301"/>
      <c r="F58" s="301"/>
      <c r="G58" s="301"/>
      <c r="H58" s="262"/>
      <c r="I58" s="352"/>
      <c r="J58" s="352"/>
      <c r="K58" s="513">
        <f>I58+J58</f>
        <v>0</v>
      </c>
      <c r="L58" s="261"/>
      <c r="M58" s="261"/>
      <c r="Y58" s="492"/>
      <c r="Z58" s="272"/>
      <c r="AA58" s="259"/>
      <c r="AB58" s="493"/>
      <c r="AC58" s="646">
        <f>K186</f>
        <v>0</v>
      </c>
      <c r="AD58" s="837"/>
      <c r="AE58" s="264">
        <f>1-AD58</f>
        <v>1</v>
      </c>
      <c r="AG58" s="656"/>
      <c r="AH58" s="656"/>
      <c r="AJ58" s="656">
        <f>K186*AD58</f>
        <v>0</v>
      </c>
      <c r="AK58" s="656">
        <f>K186*AE58</f>
        <v>0</v>
      </c>
      <c r="AM58" s="656">
        <f>AG58+AJ58</f>
        <v>0</v>
      </c>
      <c r="AN58" s="656">
        <f>AH58+AK58</f>
        <v>0</v>
      </c>
      <c r="AO58" s="706">
        <f>AM58+AN58</f>
        <v>0</v>
      </c>
    </row>
    <row r="59" spans="1:41" ht="16.5" customHeight="1" x14ac:dyDescent="0.25">
      <c r="A59" s="910"/>
      <c r="B59" s="226"/>
      <c r="C59" s="301"/>
      <c r="D59" s="301"/>
      <c r="E59" s="301"/>
      <c r="F59" s="301"/>
      <c r="G59" s="301"/>
      <c r="H59" s="262"/>
      <c r="I59" s="352"/>
      <c r="J59" s="352"/>
      <c r="K59" s="513">
        <f>I59+J59</f>
        <v>0</v>
      </c>
      <c r="L59" s="261"/>
      <c r="M59" s="261"/>
      <c r="Y59" s="492"/>
      <c r="Z59" s="272"/>
      <c r="AA59" s="259"/>
      <c r="AB59" s="493"/>
      <c r="AC59" s="259"/>
      <c r="AD59" s="259"/>
      <c r="AE59" s="273"/>
    </row>
    <row r="60" spans="1:41" ht="16.5" customHeight="1" x14ac:dyDescent="0.25">
      <c r="A60" s="910"/>
      <c r="B60" s="226"/>
      <c r="C60" s="301"/>
      <c r="D60" s="301"/>
      <c r="E60" s="301"/>
      <c r="F60" s="301"/>
      <c r="G60" s="301"/>
      <c r="H60" s="262"/>
      <c r="I60" s="352"/>
      <c r="J60" s="352"/>
      <c r="K60" s="513">
        <f>I60+J60</f>
        <v>0</v>
      </c>
      <c r="L60" s="261"/>
      <c r="M60" s="261"/>
      <c r="Y60" s="492"/>
      <c r="Z60" s="272"/>
      <c r="AA60" s="259"/>
      <c r="AB60" s="493"/>
      <c r="AC60" s="259"/>
      <c r="AD60" s="272" t="s">
        <v>203</v>
      </c>
      <c r="AE60" s="273" t="s">
        <v>204</v>
      </c>
    </row>
    <row r="61" spans="1:41" ht="16.5" customHeight="1" x14ac:dyDescent="0.25">
      <c r="A61" s="353" t="s">
        <v>175</v>
      </c>
      <c r="B61" s="354"/>
      <c r="C61" s="355"/>
      <c r="D61" s="355"/>
      <c r="E61" s="355"/>
      <c r="F61" s="355"/>
      <c r="G61" s="355"/>
      <c r="H61" s="356"/>
      <c r="I61" s="357"/>
      <c r="J61" s="358"/>
      <c r="K61" s="513">
        <f>I61+J61</f>
        <v>0</v>
      </c>
      <c r="L61" s="261"/>
      <c r="M61" s="261"/>
      <c r="Y61" s="492"/>
      <c r="Z61" s="272"/>
      <c r="AA61" s="259"/>
      <c r="AB61" s="493"/>
      <c r="AC61" s="502"/>
      <c r="AD61" s="502" t="s">
        <v>172</v>
      </c>
      <c r="AE61" s="273"/>
      <c r="AJ61" s="502" t="s">
        <v>172</v>
      </c>
    </row>
    <row r="62" spans="1:41" ht="17.25" customHeight="1" x14ac:dyDescent="0.25">
      <c r="A62" s="293"/>
      <c r="B62" s="294"/>
      <c r="C62" s="295"/>
      <c r="D62" s="295"/>
      <c r="E62" s="295"/>
      <c r="F62" s="295"/>
      <c r="G62" s="295"/>
      <c r="H62" s="296" t="s">
        <v>224</v>
      </c>
      <c r="I62" s="297">
        <v>0</v>
      </c>
      <c r="J62" s="297">
        <v>0</v>
      </c>
      <c r="K62" s="515">
        <f>I62+J62</f>
        <v>0</v>
      </c>
      <c r="L62" s="261"/>
      <c r="M62" s="261"/>
      <c r="Y62" s="492"/>
      <c r="Z62" s="272"/>
      <c r="AA62" s="259"/>
      <c r="AB62" s="493"/>
      <c r="AC62" s="647">
        <f>K129</f>
        <v>0</v>
      </c>
      <c r="AD62" s="837"/>
      <c r="AE62" s="264">
        <f>1-AD62</f>
        <v>1</v>
      </c>
      <c r="AJ62" s="713">
        <f>K129*AD62</f>
        <v>0</v>
      </c>
      <c r="AK62" s="866">
        <f>K129*AE62</f>
        <v>0</v>
      </c>
      <c r="AM62" s="656">
        <f>AG62+AJ62</f>
        <v>0</v>
      </c>
      <c r="AN62" s="866">
        <f>AH62+AK62</f>
        <v>0</v>
      </c>
      <c r="AO62" s="706">
        <f>AM62+AN62</f>
        <v>0</v>
      </c>
    </row>
    <row r="63" spans="1:41" ht="16.5" customHeight="1" thickBot="1" x14ac:dyDescent="0.35">
      <c r="A63" s="652" t="s">
        <v>47</v>
      </c>
      <c r="B63" s="652"/>
      <c r="C63" s="652"/>
      <c r="D63" s="652"/>
      <c r="E63" s="652"/>
      <c r="F63" s="652"/>
      <c r="G63" s="652"/>
      <c r="H63" s="652"/>
      <c r="I63" s="387">
        <f>SUM(I58:I62)</f>
        <v>0</v>
      </c>
      <c r="J63" s="299">
        <f>SUM(J58:J62)</f>
        <v>0</v>
      </c>
      <c r="K63" s="388">
        <f>SUM(K58:K62)</f>
        <v>0</v>
      </c>
      <c r="L63" s="705"/>
      <c r="M63" s="705"/>
      <c r="N63" s="425" t="s">
        <v>140</v>
      </c>
      <c r="O63" s="425"/>
      <c r="Y63" s="494" t="s">
        <v>170</v>
      </c>
      <c r="Z63" s="272" t="s">
        <v>203</v>
      </c>
      <c r="AA63" s="272" t="s">
        <v>204</v>
      </c>
      <c r="AB63" s="493"/>
      <c r="AC63" s="236" t="s">
        <v>170</v>
      </c>
      <c r="AD63" s="272" t="s">
        <v>203</v>
      </c>
      <c r="AE63" s="273" t="s">
        <v>204</v>
      </c>
      <c r="AG63" s="419"/>
      <c r="AH63" s="419"/>
      <c r="AJ63" s="419"/>
      <c r="AK63" s="419"/>
      <c r="AM63" s="419"/>
      <c r="AN63" s="419"/>
      <c r="AO63" s="419"/>
    </row>
    <row r="64" spans="1:41" ht="16.5" customHeight="1" x14ac:dyDescent="0.25">
      <c r="A64" s="910"/>
      <c r="B64" s="226"/>
      <c r="C64" s="301"/>
      <c r="D64" s="301"/>
      <c r="E64" s="301"/>
      <c r="F64" s="301"/>
      <c r="G64" s="301"/>
      <c r="H64" s="301"/>
      <c r="I64" s="301"/>
      <c r="J64" s="301"/>
      <c r="K64" s="338"/>
      <c r="L64" s="707"/>
      <c r="M64" s="707"/>
      <c r="Y64" s="274" t="s">
        <v>167</v>
      </c>
      <c r="Z64" s="278" t="s">
        <v>136</v>
      </c>
      <c r="AA64" s="278" t="s">
        <v>137</v>
      </c>
      <c r="AB64" s="493"/>
      <c r="AC64" s="275" t="s">
        <v>167</v>
      </c>
      <c r="AD64" s="278" t="s">
        <v>136</v>
      </c>
      <c r="AE64" s="278" t="s">
        <v>137</v>
      </c>
      <c r="AG64" s="617" t="s">
        <v>67</v>
      </c>
      <c r="AM64" s="708"/>
      <c r="AN64" s="656"/>
    </row>
    <row r="65" spans="1:52" ht="16.5" customHeight="1" x14ac:dyDescent="0.25">
      <c r="A65" s="341" t="s">
        <v>65</v>
      </c>
      <c r="B65" s="342"/>
      <c r="C65" s="301"/>
      <c r="D65" s="301"/>
      <c r="E65" s="337" t="s">
        <v>159</v>
      </c>
      <c r="F65" s="301"/>
      <c r="G65" s="301"/>
      <c r="H65" s="301"/>
      <c r="I65" s="301"/>
      <c r="J65" s="301"/>
      <c r="K65" s="903" t="s">
        <v>160</v>
      </c>
      <c r="L65" s="709"/>
      <c r="M65" s="709"/>
      <c r="Y65" s="1463" t="s">
        <v>159</v>
      </c>
      <c r="Z65" s="1464"/>
      <c r="AA65" s="501"/>
      <c r="AB65" s="493"/>
      <c r="AC65" s="1465" t="s">
        <v>160</v>
      </c>
      <c r="AD65" s="1465"/>
      <c r="AE65" s="1466"/>
    </row>
    <row r="66" spans="1:52" ht="16.5" customHeight="1" x14ac:dyDescent="0.25">
      <c r="A66" s="305"/>
      <c r="B66" s="359"/>
      <c r="C66" s="349"/>
      <c r="D66" s="301"/>
      <c r="E66" s="227"/>
      <c r="F66" s="261"/>
      <c r="G66" s="261"/>
      <c r="H66" s="261"/>
      <c r="I66" s="301"/>
      <c r="J66" s="301"/>
      <c r="K66" s="227"/>
      <c r="L66" s="261"/>
      <c r="M66" s="261"/>
      <c r="Y66" s="643">
        <f>E66</f>
        <v>0</v>
      </c>
      <c r="Z66" s="837"/>
      <c r="AA66" s="495">
        <f>1-Z66</f>
        <v>1</v>
      </c>
      <c r="AB66" s="493"/>
      <c r="AC66" s="644">
        <f>K66</f>
        <v>0</v>
      </c>
      <c r="AD66" s="837"/>
      <c r="AE66" s="264">
        <f>1-AD66</f>
        <v>1</v>
      </c>
      <c r="AG66" s="656">
        <f>E66*Z66</f>
        <v>0</v>
      </c>
      <c r="AH66" s="656">
        <f>E66*AA66</f>
        <v>0</v>
      </c>
      <c r="AJ66" s="656">
        <f t="shared" ref="AJ66:AJ71" si="27">K66*AD66</f>
        <v>0</v>
      </c>
      <c r="AK66" s="656">
        <f t="shared" ref="AK66:AK71" si="28">K66*AE66</f>
        <v>0</v>
      </c>
      <c r="AM66" s="656">
        <f>AG66+AJ66</f>
        <v>0</v>
      </c>
      <c r="AN66" s="656">
        <f>AH66+AK66</f>
        <v>0</v>
      </c>
      <c r="AO66" s="656">
        <f>SUM(AM66:AN66)</f>
        <v>0</v>
      </c>
    </row>
    <row r="67" spans="1:52" ht="16.5" customHeight="1" x14ac:dyDescent="0.25">
      <c r="A67" s="305"/>
      <c r="B67" s="359"/>
      <c r="C67" s="349"/>
      <c r="D67" s="301"/>
      <c r="E67" s="227"/>
      <c r="F67" s="261"/>
      <c r="G67" s="261"/>
      <c r="H67" s="261"/>
      <c r="I67" s="301"/>
      <c r="J67" s="301"/>
      <c r="K67" s="227"/>
      <c r="L67" s="261"/>
      <c r="M67" s="261"/>
      <c r="Y67" s="643">
        <f>E67</f>
        <v>0</v>
      </c>
      <c r="Z67" s="837"/>
      <c r="AA67" s="495">
        <f t="shared" ref="AA67:AA70" si="29">1-Z67</f>
        <v>1</v>
      </c>
      <c r="AB67" s="493"/>
      <c r="AC67" s="644">
        <f>K67</f>
        <v>0</v>
      </c>
      <c r="AD67" s="837"/>
      <c r="AE67" s="264">
        <f t="shared" ref="AE67:AE74" si="30">1-AD67</f>
        <v>1</v>
      </c>
      <c r="AG67" s="656">
        <f>E67*Z67</f>
        <v>0</v>
      </c>
      <c r="AH67" s="656">
        <f>E67*AA67</f>
        <v>0</v>
      </c>
      <c r="AJ67" s="656">
        <f t="shared" si="27"/>
        <v>0</v>
      </c>
      <c r="AK67" s="656">
        <f t="shared" si="28"/>
        <v>0</v>
      </c>
      <c r="AM67" s="656">
        <f t="shared" ref="AM67:AN74" si="31">AG67+AJ67</f>
        <v>0</v>
      </c>
      <c r="AN67" s="656">
        <f t="shared" si="31"/>
        <v>0</v>
      </c>
      <c r="AO67" s="656">
        <f t="shared" ref="AO67:AO78" si="32">SUM(AM67:AN67)</f>
        <v>0</v>
      </c>
    </row>
    <row r="68" spans="1:52" ht="16.5" customHeight="1" x14ac:dyDescent="0.25">
      <c r="A68" s="305"/>
      <c r="B68" s="359"/>
      <c r="C68" s="349"/>
      <c r="D68" s="301"/>
      <c r="E68" s="227"/>
      <c r="F68" s="261"/>
      <c r="G68" s="261"/>
      <c r="H68" s="261"/>
      <c r="I68" s="301"/>
      <c r="J68" s="301"/>
      <c r="K68" s="227"/>
      <c r="L68" s="261"/>
      <c r="M68" s="261"/>
      <c r="Y68" s="643">
        <f>E68</f>
        <v>0</v>
      </c>
      <c r="Z68" s="837"/>
      <c r="AA68" s="495">
        <f t="shared" si="29"/>
        <v>1</v>
      </c>
      <c r="AB68" s="493"/>
      <c r="AC68" s="644">
        <f>K68</f>
        <v>0</v>
      </c>
      <c r="AD68" s="837"/>
      <c r="AE68" s="264">
        <f t="shared" si="30"/>
        <v>1</v>
      </c>
      <c r="AG68" s="656">
        <f>E68*Z68</f>
        <v>0</v>
      </c>
      <c r="AH68" s="656">
        <f>E68*AA68</f>
        <v>0</v>
      </c>
      <c r="AJ68" s="656">
        <f t="shared" si="27"/>
        <v>0</v>
      </c>
      <c r="AK68" s="656">
        <f t="shared" si="28"/>
        <v>0</v>
      </c>
      <c r="AM68" s="656">
        <f t="shared" si="31"/>
        <v>0</v>
      </c>
      <c r="AN68" s="656">
        <f t="shared" si="31"/>
        <v>0</v>
      </c>
      <c r="AO68" s="656">
        <f t="shared" si="32"/>
        <v>0</v>
      </c>
    </row>
    <row r="69" spans="1:52" ht="16.5" customHeight="1" x14ac:dyDescent="0.25">
      <c r="A69" s="305"/>
      <c r="B69" s="359"/>
      <c r="C69" s="349"/>
      <c r="D69" s="301"/>
      <c r="E69" s="227"/>
      <c r="F69" s="261"/>
      <c r="G69" s="261"/>
      <c r="H69" s="261"/>
      <c r="I69" s="301"/>
      <c r="J69" s="301"/>
      <c r="K69" s="227"/>
      <c r="L69" s="261"/>
      <c r="M69" s="261"/>
      <c r="Y69" s="643">
        <f>E69</f>
        <v>0</v>
      </c>
      <c r="Z69" s="837"/>
      <c r="AA69" s="495">
        <f t="shared" si="29"/>
        <v>1</v>
      </c>
      <c r="AB69" s="493"/>
      <c r="AC69" s="644">
        <f>K69</f>
        <v>0</v>
      </c>
      <c r="AD69" s="837"/>
      <c r="AE69" s="264">
        <f t="shared" si="30"/>
        <v>1</v>
      </c>
      <c r="AG69" s="656">
        <f>E69*Z69</f>
        <v>0</v>
      </c>
      <c r="AH69" s="656">
        <f>E69*AA69</f>
        <v>0</v>
      </c>
      <c r="AJ69" s="656">
        <f t="shared" si="27"/>
        <v>0</v>
      </c>
      <c r="AK69" s="656">
        <f t="shared" si="28"/>
        <v>0</v>
      </c>
      <c r="AM69" s="656">
        <f t="shared" si="31"/>
        <v>0</v>
      </c>
      <c r="AN69" s="656">
        <f t="shared" si="31"/>
        <v>0</v>
      </c>
      <c r="AO69" s="656">
        <f t="shared" si="32"/>
        <v>0</v>
      </c>
    </row>
    <row r="70" spans="1:52" ht="16.5" customHeight="1" x14ac:dyDescent="0.25">
      <c r="A70" s="305"/>
      <c r="B70" s="359"/>
      <c r="C70" s="349"/>
      <c r="D70" s="301"/>
      <c r="E70" s="227"/>
      <c r="F70" s="261"/>
      <c r="G70" s="261"/>
      <c r="H70" s="261"/>
      <c r="I70" s="301"/>
      <c r="J70" s="301"/>
      <c r="K70" s="227"/>
      <c r="L70" s="261"/>
      <c r="M70" s="261"/>
      <c r="N70" s="326"/>
      <c r="O70" s="326"/>
      <c r="P70" s="326"/>
      <c r="Q70" s="326"/>
      <c r="R70" s="326"/>
      <c r="S70" s="326"/>
      <c r="T70" s="326"/>
      <c r="U70" s="326"/>
      <c r="V70" s="326"/>
      <c r="W70" s="326"/>
      <c r="X70" s="326"/>
      <c r="Y70" s="648">
        <f>E70</f>
        <v>0</v>
      </c>
      <c r="Z70" s="837"/>
      <c r="AA70" s="649">
        <f t="shared" si="29"/>
        <v>1</v>
      </c>
      <c r="AB70" s="496"/>
      <c r="AC70" s="644">
        <f>K70</f>
        <v>0</v>
      </c>
      <c r="AD70" s="837"/>
      <c r="AE70" s="264">
        <f t="shared" si="30"/>
        <v>1</v>
      </c>
      <c r="AG70" s="656">
        <f>E70*Z70</f>
        <v>0</v>
      </c>
      <c r="AH70" s="656">
        <f>E70*AA70</f>
        <v>0</v>
      </c>
      <c r="AJ70" s="656">
        <f t="shared" si="27"/>
        <v>0</v>
      </c>
      <c r="AK70" s="656">
        <f t="shared" si="28"/>
        <v>0</v>
      </c>
      <c r="AM70" s="656">
        <f t="shared" si="31"/>
        <v>0</v>
      </c>
      <c r="AN70" s="656">
        <f t="shared" si="31"/>
        <v>0</v>
      </c>
      <c r="AO70" s="656">
        <f t="shared" si="32"/>
        <v>0</v>
      </c>
    </row>
    <row r="71" spans="1:52" s="56" customFormat="1" ht="4.5" customHeight="1" x14ac:dyDescent="0.25">
      <c r="A71" s="360"/>
      <c r="B71" s="361"/>
      <c r="C71" s="362"/>
      <c r="D71" s="363"/>
      <c r="E71" s="363"/>
      <c r="F71" s="363"/>
      <c r="G71" s="363"/>
      <c r="H71" s="363"/>
      <c r="I71" s="364"/>
      <c r="J71" s="365"/>
      <c r="K71" s="389"/>
      <c r="L71" s="261"/>
      <c r="M71" s="261"/>
      <c r="N71" s="326"/>
      <c r="O71" s="326"/>
      <c r="P71" s="326"/>
      <c r="Q71" s="326"/>
      <c r="R71" s="326"/>
      <c r="S71" s="326"/>
      <c r="T71" s="326"/>
      <c r="U71" s="326"/>
      <c r="V71" s="326"/>
      <c r="W71" s="326"/>
      <c r="X71" s="326"/>
      <c r="Y71" s="271"/>
      <c r="Z71" s="259"/>
      <c r="AA71" s="259"/>
      <c r="AB71" s="496"/>
      <c r="AC71" s="698"/>
      <c r="AD71" s="503"/>
      <c r="AE71" s="273"/>
      <c r="AF71" s="325"/>
      <c r="AG71" s="656"/>
      <c r="AH71" s="656"/>
      <c r="AI71" s="325"/>
      <c r="AJ71" s="656">
        <f t="shared" si="27"/>
        <v>0</v>
      </c>
      <c r="AK71" s="656">
        <f t="shared" si="28"/>
        <v>0</v>
      </c>
      <c r="AL71" s="325"/>
      <c r="AM71" s="656">
        <f t="shared" si="31"/>
        <v>0</v>
      </c>
      <c r="AN71" s="656">
        <f t="shared" si="31"/>
        <v>0</v>
      </c>
      <c r="AO71" s="656">
        <f>SUM(AM71:AN71)</f>
        <v>0</v>
      </c>
      <c r="AP71" s="325"/>
      <c r="AQ71" s="325"/>
      <c r="AR71" s="325"/>
      <c r="AS71" s="325"/>
      <c r="AT71" s="325"/>
      <c r="AU71" s="325"/>
      <c r="AV71" s="325"/>
      <c r="AW71" s="325"/>
      <c r="AX71" s="325"/>
      <c r="AY71" s="325"/>
      <c r="AZ71" s="325"/>
    </row>
    <row r="72" spans="1:52" ht="16.5" customHeight="1" x14ac:dyDescent="0.25">
      <c r="A72" s="366" t="s">
        <v>134</v>
      </c>
      <c r="B72" s="367"/>
      <c r="C72" s="368"/>
      <c r="D72" s="369"/>
      <c r="E72" s="369"/>
      <c r="F72" s="369"/>
      <c r="G72" s="369"/>
      <c r="H72" s="369"/>
      <c r="I72" s="369"/>
      <c r="J72" s="369"/>
      <c r="K72" s="390" t="s">
        <v>433</v>
      </c>
      <c r="L72" s="714"/>
      <c r="M72" s="714"/>
      <c r="N72" s="326"/>
      <c r="O72" s="326"/>
      <c r="P72" s="326"/>
      <c r="Q72" s="326"/>
      <c r="R72" s="326"/>
      <c r="S72" s="326"/>
      <c r="T72" s="326"/>
      <c r="U72" s="326"/>
      <c r="V72" s="326"/>
      <c r="W72" s="326"/>
      <c r="X72" s="326"/>
      <c r="Y72" s="271"/>
      <c r="Z72" s="259"/>
      <c r="AA72" s="259"/>
      <c r="AB72" s="246"/>
      <c r="AC72" s="262"/>
      <c r="AD72" s="272"/>
      <c r="AE72" s="273"/>
      <c r="AG72" s="656"/>
      <c r="AH72" s="656"/>
      <c r="AJ72" s="656"/>
      <c r="AK72" s="656"/>
      <c r="AM72" s="656"/>
      <c r="AN72" s="656"/>
      <c r="AO72" s="656">
        <f t="shared" si="32"/>
        <v>0</v>
      </c>
    </row>
    <row r="73" spans="1:52" ht="16.5" customHeight="1" x14ac:dyDescent="0.25">
      <c r="A73" s="370" t="s">
        <v>139</v>
      </c>
      <c r="B73" s="305" t="str">
        <f>'Federal Grad Student'!A20</f>
        <v xml:space="preserve"> Direct Compensation</v>
      </c>
      <c r="C73" s="349"/>
      <c r="D73" s="301"/>
      <c r="E73" s="301"/>
      <c r="F73" s="301"/>
      <c r="G73" s="301"/>
      <c r="H73" s="261"/>
      <c r="I73" s="301"/>
      <c r="J73" s="301"/>
      <c r="K73" s="715">
        <f>IF($H$188="Yes", 'Federal Grad Student'!C215, 0)</f>
        <v>0</v>
      </c>
      <c r="L73" s="261"/>
      <c r="M73" s="261"/>
      <c r="N73" s="326"/>
      <c r="Y73" s="492"/>
      <c r="Z73" s="261"/>
      <c r="AA73" s="272"/>
      <c r="AB73" s="262"/>
      <c r="AC73" s="644">
        <f>K73</f>
        <v>0</v>
      </c>
      <c r="AD73" s="504"/>
      <c r="AE73" s="264">
        <f t="shared" si="30"/>
        <v>1</v>
      </c>
      <c r="AG73" s="656">
        <f>E73*Z73</f>
        <v>0</v>
      </c>
      <c r="AH73" s="656">
        <f>E73*AA73</f>
        <v>0</v>
      </c>
      <c r="AJ73" s="656">
        <f>K73*AD73</f>
        <v>0</v>
      </c>
      <c r="AK73" s="656">
        <f>K73*AE73</f>
        <v>0</v>
      </c>
      <c r="AM73" s="656">
        <f t="shared" si="31"/>
        <v>0</v>
      </c>
      <c r="AN73" s="656">
        <f t="shared" si="31"/>
        <v>0</v>
      </c>
      <c r="AO73" s="656">
        <f t="shared" si="32"/>
        <v>0</v>
      </c>
    </row>
    <row r="74" spans="1:52" ht="16.5" customHeight="1" x14ac:dyDescent="0.25">
      <c r="A74" s="371" t="s">
        <v>173</v>
      </c>
      <c r="B74" s="305" t="str">
        <f>'Federal Grad Student'!A21</f>
        <v xml:space="preserve"> Health Insurance</v>
      </c>
      <c r="C74" s="349"/>
      <c r="D74" s="301"/>
      <c r="E74" s="301"/>
      <c r="F74" s="301"/>
      <c r="G74" s="301"/>
      <c r="H74" s="261"/>
      <c r="I74" s="301"/>
      <c r="J74" s="301"/>
      <c r="K74" s="716">
        <f>IF($H$188="Yes", 'Federal Grad Student'!C216, 0)</f>
        <v>0</v>
      </c>
      <c r="L74" s="261"/>
      <c r="M74" s="261"/>
      <c r="N74" s="326"/>
      <c r="Y74" s="492"/>
      <c r="Z74" s="261"/>
      <c r="AA74" s="272"/>
      <c r="AB74" s="262"/>
      <c r="AC74" s="644">
        <f>K74</f>
        <v>0</v>
      </c>
      <c r="AD74" s="504"/>
      <c r="AE74" s="264">
        <f t="shared" si="30"/>
        <v>1</v>
      </c>
      <c r="AG74" s="656">
        <f>E74*Z74</f>
        <v>0</v>
      </c>
      <c r="AH74" s="656">
        <f>E74*AA74</f>
        <v>0</v>
      </c>
      <c r="AJ74" s="656">
        <f>K74*AD74</f>
        <v>0</v>
      </c>
      <c r="AK74" s="656">
        <f>K74*AE74</f>
        <v>0</v>
      </c>
      <c r="AM74" s="656">
        <f t="shared" si="31"/>
        <v>0</v>
      </c>
      <c r="AN74" s="656">
        <f t="shared" si="31"/>
        <v>0</v>
      </c>
      <c r="AO74" s="656">
        <f t="shared" si="32"/>
        <v>0</v>
      </c>
    </row>
    <row r="75" spans="1:52" ht="16.5" customHeight="1" x14ac:dyDescent="0.3">
      <c r="A75" s="372" t="s">
        <v>174</v>
      </c>
      <c r="B75" s="373" t="str">
        <f>'Federal Grad Student'!A22</f>
        <v xml:space="preserve"> Tuition/Fees</v>
      </c>
      <c r="C75" s="374"/>
      <c r="D75" s="375"/>
      <c r="E75" s="375"/>
      <c r="F75" s="375"/>
      <c r="G75" s="375"/>
      <c r="H75" s="358"/>
      <c r="I75" s="375"/>
      <c r="J75" s="375"/>
      <c r="K75" s="717">
        <f>IF($H$188="Yes", 'Federal Grad Student'!C217, 0)</f>
        <v>0</v>
      </c>
      <c r="L75" s="261"/>
      <c r="M75" s="261"/>
      <c r="N75" s="425" t="s">
        <v>45</v>
      </c>
      <c r="O75" s="425"/>
      <c r="Y75" s="492"/>
      <c r="Z75" s="261"/>
      <c r="AA75" s="272"/>
      <c r="AB75" s="262"/>
      <c r="AC75" s="262"/>
      <c r="AD75" s="261"/>
      <c r="AE75" s="273"/>
      <c r="AG75" s="419"/>
      <c r="AH75" s="419"/>
      <c r="AJ75" s="420"/>
      <c r="AK75" s="420"/>
      <c r="AM75" s="420"/>
      <c r="AN75" s="420"/>
      <c r="AO75" s="420"/>
    </row>
    <row r="76" spans="1:52" ht="4.5" customHeight="1" x14ac:dyDescent="0.3">
      <c r="A76" s="376"/>
      <c r="B76" s="305"/>
      <c r="C76" s="349"/>
      <c r="D76" s="301"/>
      <c r="E76" s="301"/>
      <c r="F76" s="301"/>
      <c r="G76" s="301"/>
      <c r="H76" s="261"/>
      <c r="I76" s="375"/>
      <c r="J76" s="375"/>
      <c r="K76" s="608"/>
      <c r="L76" s="261"/>
      <c r="M76" s="261"/>
      <c r="N76" s="425"/>
      <c r="O76" s="425"/>
      <c r="Y76" s="492"/>
      <c r="Z76" s="261"/>
      <c r="AA76" s="272"/>
      <c r="AB76" s="262"/>
      <c r="AC76" s="262"/>
      <c r="AD76" s="261"/>
      <c r="AE76" s="273"/>
      <c r="AG76" s="262"/>
      <c r="AH76" s="262"/>
      <c r="AJ76" s="718"/>
      <c r="AK76" s="718"/>
      <c r="AM76" s="415"/>
      <c r="AN76" s="415"/>
      <c r="AO76" s="415">
        <f t="shared" si="32"/>
        <v>0</v>
      </c>
    </row>
    <row r="77" spans="1:52" ht="21.75" customHeight="1" x14ac:dyDescent="0.3">
      <c r="A77" s="377" t="s">
        <v>218</v>
      </c>
      <c r="B77" s="378"/>
      <c r="C77" s="379"/>
      <c r="D77" s="380"/>
      <c r="E77" s="379"/>
      <c r="F77" s="380"/>
      <c r="G77" s="227"/>
      <c r="H77" s="381" t="s">
        <v>45</v>
      </c>
      <c r="I77" s="345"/>
      <c r="J77" s="296" t="s">
        <v>263</v>
      </c>
      <c r="K77" s="487">
        <v>0</v>
      </c>
      <c r="L77" s="261"/>
      <c r="M77" s="261"/>
      <c r="Y77" s="505"/>
      <c r="Z77" s="506"/>
      <c r="AA77" s="507"/>
      <c r="AB77" s="508"/>
      <c r="AC77" s="508"/>
      <c r="AD77" s="297">
        <v>0</v>
      </c>
      <c r="AE77" s="500"/>
      <c r="AJ77" s="719">
        <v>0</v>
      </c>
      <c r="AK77" s="719">
        <v>0</v>
      </c>
      <c r="AM77" s="720"/>
      <c r="AN77" s="720"/>
      <c r="AO77" s="415">
        <f t="shared" si="32"/>
        <v>0</v>
      </c>
    </row>
    <row r="78" spans="1:52" ht="16.5" customHeight="1" thickBot="1" x14ac:dyDescent="0.3">
      <c r="A78" s="652" t="s">
        <v>66</v>
      </c>
      <c r="B78" s="652"/>
      <c r="C78" s="652"/>
      <c r="D78" s="652"/>
      <c r="E78" s="652"/>
      <c r="F78" s="652"/>
      <c r="G78" s="652"/>
      <c r="H78" s="652"/>
      <c r="I78" s="652"/>
      <c r="J78" s="653"/>
      <c r="K78" s="721">
        <f>SUM(E66:E70)+SUM(K66:K70)+SUM(K73:K75)+G77+K77</f>
        <v>0</v>
      </c>
      <c r="L78" s="705"/>
      <c r="M78" s="705"/>
      <c r="AG78" s="656">
        <f>SUM(AG66:AG75)</f>
        <v>0</v>
      </c>
      <c r="AH78" s="656">
        <f>SUM(AH66:AH75)</f>
        <v>0</v>
      </c>
      <c r="AJ78" s="656">
        <f>SUM(AJ66:AJ75)</f>
        <v>0</v>
      </c>
      <c r="AK78" s="656">
        <f>SUM(AK66:AK75)</f>
        <v>0</v>
      </c>
      <c r="AM78" s="656">
        <f>SUM(AM66:AM75)</f>
        <v>0</v>
      </c>
      <c r="AN78" s="656">
        <f>SUM(AN66:AN75)</f>
        <v>0</v>
      </c>
      <c r="AO78" s="722">
        <f t="shared" si="32"/>
        <v>0</v>
      </c>
    </row>
    <row r="79" spans="1:52" ht="16.5" customHeight="1" x14ac:dyDescent="0.25">
      <c r="A79" s="910"/>
      <c r="B79" s="226"/>
      <c r="C79" s="301"/>
      <c r="D79" s="301"/>
      <c r="E79" s="301"/>
      <c r="F79" s="301"/>
      <c r="G79" s="301"/>
      <c r="H79" s="301"/>
      <c r="I79" s="301"/>
      <c r="J79" s="301"/>
      <c r="K79" s="396"/>
      <c r="L79" s="707"/>
      <c r="M79" s="707"/>
      <c r="AM79" s="708"/>
      <c r="AN79" s="706"/>
    </row>
    <row r="80" spans="1:52" ht="16.5" customHeight="1" x14ac:dyDescent="0.25">
      <c r="A80" s="428" t="s">
        <v>74</v>
      </c>
      <c r="B80" s="429"/>
      <c r="C80" s="301"/>
      <c r="D80" s="301"/>
      <c r="E80" s="301"/>
      <c r="F80" s="301"/>
      <c r="G80" s="301"/>
      <c r="H80" s="301"/>
      <c r="I80" s="301"/>
      <c r="J80" s="301"/>
      <c r="K80" s="397">
        <f>SUM(K29,K34,K39,K45,K50,K55,K63,K78)</f>
        <v>0</v>
      </c>
      <c r="L80" s="705"/>
      <c r="M80" s="705"/>
      <c r="AK80" s="708" t="s">
        <v>165</v>
      </c>
      <c r="AM80" s="706">
        <f>AM29+AM39+AM45+AM50+AM58+AM62+AM78</f>
        <v>0</v>
      </c>
      <c r="AN80" s="706">
        <f>AN29+AN39+AN45+AN50+AN58+AN62+AN78</f>
        <v>0</v>
      </c>
      <c r="AO80" s="706">
        <f>AO29+AO39+AO45+AO50+AO58+AO62+AO78</f>
        <v>0</v>
      </c>
      <c r="AP80" s="509">
        <f>I101</f>
        <v>0</v>
      </c>
      <c r="AQ80" s="509">
        <f>AP80-AO80</f>
        <v>0</v>
      </c>
    </row>
    <row r="81" spans="1:49" ht="16.5" customHeight="1" x14ac:dyDescent="0.25">
      <c r="A81" s="428"/>
      <c r="B81" s="429"/>
      <c r="C81" s="301"/>
      <c r="D81" s="301"/>
      <c r="E81" s="301"/>
      <c r="F81" s="301"/>
      <c r="G81" s="301"/>
      <c r="H81" s="301"/>
      <c r="I81" s="301"/>
      <c r="J81" s="301"/>
      <c r="K81" s="338"/>
      <c r="L81" s="707"/>
      <c r="M81" s="707"/>
      <c r="AK81" s="866" t="s">
        <v>179</v>
      </c>
      <c r="AM81" s="482">
        <f>I90</f>
        <v>0</v>
      </c>
      <c r="AN81" s="482">
        <f>I94</f>
        <v>0</v>
      </c>
      <c r="AO81" s="723" t="e">
        <f>(AM81*AM83)+(AN81*AN83)</f>
        <v>#DIV/0!</v>
      </c>
    </row>
    <row r="82" spans="1:49" ht="16.5" customHeight="1" x14ac:dyDescent="0.25">
      <c r="A82" s="341" t="s">
        <v>23</v>
      </c>
      <c r="B82" s="342"/>
      <c r="C82" s="301"/>
      <c r="D82" s="301"/>
      <c r="E82" s="301"/>
      <c r="F82" s="301"/>
      <c r="G82" s="301"/>
      <c r="H82" s="301"/>
      <c r="I82" s="301"/>
      <c r="J82" s="301"/>
      <c r="K82" s="759"/>
      <c r="L82" s="707"/>
      <c r="M82" s="707"/>
      <c r="AK82" s="708" t="s">
        <v>181</v>
      </c>
      <c r="AM82" s="706">
        <f>AM80*AM81</f>
        <v>0</v>
      </c>
      <c r="AN82" s="706">
        <f>AN80*AN81</f>
        <v>0</v>
      </c>
      <c r="AO82" s="724">
        <f>AM82+AN82</f>
        <v>0</v>
      </c>
    </row>
    <row r="83" spans="1:49" ht="16.5" customHeight="1" x14ac:dyDescent="0.25">
      <c r="A83" s="910" t="s">
        <v>26</v>
      </c>
      <c r="B83" s="342"/>
      <c r="C83" s="301"/>
      <c r="D83" s="301"/>
      <c r="E83" s="301"/>
      <c r="F83" s="301"/>
      <c r="G83" s="301"/>
      <c r="H83" s="301"/>
      <c r="I83" s="398">
        <f>K80-K63+I61</f>
        <v>0</v>
      </c>
      <c r="J83" s="301"/>
      <c r="K83" s="338"/>
      <c r="L83" s="707"/>
      <c r="M83" s="707"/>
      <c r="N83" s="326"/>
      <c r="O83" s="326"/>
      <c r="P83" s="326"/>
      <c r="Q83" s="326"/>
      <c r="R83" s="326"/>
      <c r="S83" s="326"/>
      <c r="T83" s="326"/>
      <c r="U83" s="326"/>
      <c r="V83" s="326"/>
      <c r="W83" s="326"/>
      <c r="X83" s="326"/>
      <c r="Y83" s="326"/>
      <c r="Z83" s="510"/>
      <c r="AA83" s="510"/>
      <c r="AB83" s="326"/>
      <c r="AC83" s="326"/>
      <c r="AD83" s="510"/>
      <c r="AE83" s="510"/>
      <c r="AF83" s="326"/>
      <c r="AG83" s="326"/>
      <c r="AK83" s="708" t="s">
        <v>183</v>
      </c>
      <c r="AM83" s="725" t="e">
        <f>AM80/AO80</f>
        <v>#DIV/0!</v>
      </c>
      <c r="AN83" s="725" t="e">
        <f>AN80/AO80</f>
        <v>#DIV/0!</v>
      </c>
      <c r="AO83" s="726" t="e">
        <f>AM83+AN83</f>
        <v>#DIV/0!</v>
      </c>
      <c r="AP83" s="326"/>
      <c r="AQ83" s="326"/>
      <c r="AR83" s="326"/>
      <c r="AS83" s="326"/>
      <c r="AT83" s="326"/>
      <c r="AU83" s="326"/>
      <c r="AV83" s="326"/>
      <c r="AW83" s="326"/>
    </row>
    <row r="84" spans="1:49" ht="16.5" customHeight="1" thickBot="1" x14ac:dyDescent="0.3">
      <c r="A84" s="910" t="s">
        <v>75</v>
      </c>
      <c r="B84" s="226"/>
      <c r="C84" s="301"/>
      <c r="D84" s="301"/>
      <c r="E84" s="301"/>
      <c r="F84" s="301"/>
      <c r="G84" s="301"/>
      <c r="H84" s="301"/>
      <c r="I84" s="398">
        <f>K80-J63</f>
        <v>0</v>
      </c>
      <c r="J84" s="301"/>
      <c r="K84" s="516"/>
      <c r="L84" s="306"/>
      <c r="M84" s="306"/>
      <c r="N84" s="326"/>
      <c r="O84" s="326"/>
      <c r="P84" s="326"/>
      <c r="Q84" s="326"/>
      <c r="R84" s="326"/>
      <c r="S84" s="326"/>
      <c r="T84" s="326"/>
      <c r="U84" s="326"/>
      <c r="V84" s="326"/>
      <c r="W84" s="326"/>
      <c r="X84" s="326"/>
      <c r="Y84" s="326"/>
      <c r="Z84" s="510"/>
      <c r="AA84" s="510"/>
      <c r="AB84" s="326"/>
      <c r="AC84" s="326"/>
      <c r="AD84" s="510"/>
      <c r="AE84" s="510"/>
      <c r="AF84" s="326"/>
      <c r="AG84" s="326"/>
      <c r="AJ84" s="326"/>
      <c r="AK84" s="326"/>
      <c r="AL84" s="326"/>
      <c r="AM84" s="326"/>
      <c r="AN84" s="326"/>
      <c r="AP84" s="326"/>
      <c r="AQ84" s="326"/>
      <c r="AR84" s="326"/>
      <c r="AS84" s="326"/>
      <c r="AT84" s="326"/>
      <c r="AU84" s="326"/>
      <c r="AV84" s="326"/>
      <c r="AW84" s="326"/>
    </row>
    <row r="85" spans="1:49" ht="16.5" customHeight="1" thickTop="1" thickBot="1" x14ac:dyDescent="0.3">
      <c r="A85" s="910" t="s">
        <v>108</v>
      </c>
      <c r="B85" s="226"/>
      <c r="C85" s="301"/>
      <c r="D85" s="301"/>
      <c r="E85" s="301"/>
      <c r="F85" s="301"/>
      <c r="G85" s="301"/>
      <c r="H85" s="301"/>
      <c r="I85" s="301"/>
      <c r="J85" s="301"/>
      <c r="K85" s="609">
        <v>0</v>
      </c>
      <c r="L85" s="705"/>
      <c r="M85" s="705"/>
      <c r="N85" s="426"/>
      <c r="O85" s="426"/>
      <c r="P85" s="326"/>
      <c r="Q85" s="326"/>
      <c r="R85" s="326"/>
      <c r="S85" s="326"/>
      <c r="T85" s="326"/>
      <c r="U85" s="326"/>
      <c r="V85" s="326"/>
      <c r="W85" s="326"/>
      <c r="X85" s="326"/>
      <c r="Y85" s="326"/>
      <c r="Z85" s="510"/>
      <c r="AA85" s="510"/>
      <c r="AB85" s="326"/>
      <c r="AC85" s="326"/>
      <c r="AD85" s="510"/>
      <c r="AE85" s="510"/>
      <c r="AF85" s="326"/>
      <c r="AG85" s="326"/>
      <c r="AK85" s="708" t="s">
        <v>190</v>
      </c>
      <c r="AO85" s="706">
        <f>K80</f>
        <v>0</v>
      </c>
      <c r="AP85" s="326"/>
      <c r="AQ85" s="326"/>
      <c r="AR85" s="326"/>
      <c r="AS85" s="326"/>
      <c r="AT85" s="326"/>
      <c r="AU85" s="326"/>
      <c r="AV85" s="326"/>
      <c r="AW85" s="326"/>
    </row>
    <row r="86" spans="1:49" ht="16.5" customHeight="1" thickTop="1" x14ac:dyDescent="0.25">
      <c r="A86" s="910"/>
      <c r="B86" s="226"/>
      <c r="C86" s="301"/>
      <c r="D86" s="301"/>
      <c r="E86" s="301"/>
      <c r="F86" s="301"/>
      <c r="G86" s="301"/>
      <c r="H86" s="301"/>
      <c r="I86" s="301"/>
      <c r="J86" s="301"/>
      <c r="K86" s="517"/>
      <c r="L86" s="707"/>
      <c r="M86" s="707"/>
      <c r="N86" s="326"/>
      <c r="O86" s="326"/>
      <c r="P86" s="326"/>
      <c r="Q86" s="326"/>
      <c r="R86" s="326"/>
      <c r="S86" s="326"/>
      <c r="T86" s="326"/>
      <c r="U86" s="326"/>
      <c r="V86" s="326"/>
      <c r="W86" s="326"/>
      <c r="X86" s="326"/>
      <c r="Y86" s="326"/>
      <c r="Z86" s="510"/>
      <c r="AA86" s="510"/>
      <c r="AB86" s="326"/>
      <c r="AC86" s="326"/>
      <c r="AD86" s="510"/>
      <c r="AE86" s="510"/>
      <c r="AF86" s="326"/>
      <c r="AG86" s="326"/>
      <c r="AH86" s="326"/>
      <c r="AK86" s="708" t="s">
        <v>191</v>
      </c>
      <c r="AO86" s="706">
        <f>I84</f>
        <v>0</v>
      </c>
      <c r="AP86" s="326"/>
      <c r="AQ86" s="326"/>
      <c r="AR86" s="326"/>
      <c r="AS86" s="326"/>
      <c r="AT86" s="326"/>
      <c r="AU86" s="326"/>
      <c r="AV86" s="326"/>
      <c r="AW86" s="326"/>
    </row>
    <row r="87" spans="1:49" ht="16.5" customHeight="1" x14ac:dyDescent="0.25">
      <c r="A87" s="428"/>
      <c r="B87" s="281"/>
      <c r="C87" s="301"/>
      <c r="D87" s="301"/>
      <c r="E87" s="301"/>
      <c r="F87" s="301"/>
      <c r="G87" s="301"/>
      <c r="H87" s="301"/>
      <c r="I87" s="281"/>
      <c r="J87" s="301"/>
      <c r="K87" s="518"/>
      <c r="L87" s="705"/>
      <c r="M87" s="705"/>
      <c r="AH87" s="326"/>
      <c r="AI87" s="326"/>
      <c r="AO87" s="656"/>
    </row>
    <row r="88" spans="1:49" ht="24.75" customHeight="1" x14ac:dyDescent="0.25">
      <c r="A88" s="430" t="s">
        <v>212</v>
      </c>
      <c r="B88" s="431"/>
      <c r="C88" s="432"/>
      <c r="D88" s="432"/>
      <c r="E88" s="432"/>
      <c r="F88" s="432"/>
      <c r="G88" s="432"/>
      <c r="H88" s="432"/>
      <c r="I88" s="610" t="s">
        <v>434</v>
      </c>
      <c r="J88" s="261"/>
      <c r="K88" s="518"/>
      <c r="L88" s="705"/>
      <c r="M88" s="705"/>
      <c r="AH88" s="326"/>
      <c r="AI88" s="326"/>
    </row>
    <row r="89" spans="1:49" ht="16.5" customHeight="1" thickBot="1" x14ac:dyDescent="0.3">
      <c r="A89" s="403" t="s">
        <v>199</v>
      </c>
      <c r="B89" s="404"/>
      <c r="C89" s="261"/>
      <c r="D89" s="261"/>
      <c r="E89" s="261"/>
      <c r="F89" s="261"/>
      <c r="G89" s="261"/>
      <c r="H89" s="261"/>
      <c r="I89" s="611" t="str">
        <f>IF(AND(C283="Yes",C285="Yes",I197="Yes"),AM108, IF(AND(C283="Yes", C285="No", I197="Yes"), AM80, " "))</f>
        <v xml:space="preserve"> </v>
      </c>
      <c r="J89" s="261"/>
      <c r="K89" s="518"/>
      <c r="L89" s="705"/>
      <c r="M89" s="705"/>
      <c r="AI89" s="326"/>
    </row>
    <row r="90" spans="1:49" ht="16.5" customHeight="1" thickTop="1" thickBot="1" x14ac:dyDescent="0.3">
      <c r="A90" s="910" t="s">
        <v>188</v>
      </c>
      <c r="B90" s="404"/>
      <c r="C90" s="261"/>
      <c r="D90" s="261"/>
      <c r="E90" s="261"/>
      <c r="F90" s="261"/>
      <c r="G90" s="261"/>
      <c r="H90" s="261"/>
      <c r="I90" s="612"/>
      <c r="J90" s="261"/>
      <c r="K90" s="518"/>
      <c r="L90" s="705"/>
      <c r="M90" s="705"/>
    </row>
    <row r="91" spans="1:49" ht="16.5" customHeight="1" thickTop="1" x14ac:dyDescent="0.25">
      <c r="A91" s="403" t="s">
        <v>201</v>
      </c>
      <c r="B91" s="404"/>
      <c r="C91" s="261"/>
      <c r="D91" s="261"/>
      <c r="E91" s="261"/>
      <c r="F91" s="261"/>
      <c r="G91" s="261"/>
      <c r="H91" s="261"/>
      <c r="I91" s="611" t="str">
        <f>IF(AND(C283="Yes",C285="Yes",I197="Yes"),AM110, IF(AND(C283="Yes", C285="No", I197="Yes"), AM82, " "))</f>
        <v xml:space="preserve"> </v>
      </c>
      <c r="J91" s="261"/>
      <c r="K91" s="518"/>
      <c r="L91" s="705"/>
      <c r="M91" s="705"/>
    </row>
    <row r="92" spans="1:49" ht="8.25" customHeight="1" x14ac:dyDescent="0.3">
      <c r="B92" s="404"/>
      <c r="C92" s="261"/>
      <c r="D92" s="261"/>
      <c r="E92" s="261"/>
      <c r="F92" s="261"/>
      <c r="G92" s="406"/>
      <c r="H92" s="407"/>
      <c r="I92" s="434"/>
      <c r="J92" s="261"/>
      <c r="K92" s="518"/>
      <c r="L92" s="705"/>
      <c r="M92" s="705"/>
    </row>
    <row r="93" spans="1:49" ht="16.5" customHeight="1" thickBot="1" x14ac:dyDescent="0.3">
      <c r="A93" s="403" t="s">
        <v>200</v>
      </c>
      <c r="B93" s="404"/>
      <c r="C93" s="261"/>
      <c r="D93" s="261"/>
      <c r="E93" s="261"/>
      <c r="F93" s="261"/>
      <c r="G93" s="261"/>
      <c r="H93" s="261"/>
      <c r="I93" s="611" t="str">
        <f>IF(AND(C283="Yes",C285="Yes",I197="Yes"),AN108,IF(AND(C283="Yes",C285="No",I197="Yes"),AN80," "))</f>
        <v xml:space="preserve"> </v>
      </c>
      <c r="J93" s="261"/>
      <c r="K93" s="518"/>
      <c r="L93" s="705"/>
      <c r="M93" s="705"/>
    </row>
    <row r="94" spans="1:49" ht="16.5" customHeight="1" thickTop="1" thickBot="1" x14ac:dyDescent="0.3">
      <c r="A94" s="910" t="s">
        <v>52</v>
      </c>
      <c r="B94" s="404"/>
      <c r="C94" s="261"/>
      <c r="D94" s="261"/>
      <c r="E94" s="261"/>
      <c r="F94" s="261"/>
      <c r="G94" s="261"/>
      <c r="H94" s="261"/>
      <c r="I94" s="612"/>
      <c r="J94" s="261"/>
      <c r="K94" s="518"/>
      <c r="L94" s="705"/>
      <c r="M94" s="705"/>
    </row>
    <row r="95" spans="1:49" ht="16.5" customHeight="1" thickTop="1" x14ac:dyDescent="0.25">
      <c r="A95" s="403" t="s">
        <v>202</v>
      </c>
      <c r="B95" s="226"/>
      <c r="C95" s="301"/>
      <c r="D95" s="301"/>
      <c r="E95" s="301"/>
      <c r="F95" s="301"/>
      <c r="G95" s="301"/>
      <c r="H95" s="301"/>
      <c r="I95" s="613" t="str">
        <f>IF(AND(C283="Yes",C285="Yes",I197="Yes"),AN110,IF(AND(C283="Yes",C285="No",I197="Yes"),AN82," "))</f>
        <v xml:space="preserve"> </v>
      </c>
      <c r="J95" s="301"/>
      <c r="K95" s="518"/>
      <c r="L95" s="705"/>
      <c r="M95" s="705"/>
    </row>
    <row r="96" spans="1:49" ht="5.25" customHeight="1" x14ac:dyDescent="0.3">
      <c r="B96" s="226"/>
      <c r="C96" s="301"/>
      <c r="D96" s="301"/>
      <c r="E96" s="301"/>
      <c r="F96" s="301"/>
      <c r="G96" s="406"/>
      <c r="H96" s="407"/>
      <c r="I96" s="434"/>
      <c r="J96" s="301"/>
      <c r="K96" s="518"/>
      <c r="L96" s="705"/>
      <c r="M96" s="705"/>
    </row>
    <row r="97" spans="1:49" ht="16.5" customHeight="1" x14ac:dyDescent="0.25">
      <c r="A97" s="403"/>
      <c r="B97" s="727" t="str">
        <f>IF(I197="Yes", "Combined F&amp;A Rate", " ")</f>
        <v xml:space="preserve"> </v>
      </c>
      <c r="C97" s="728" t="str">
        <f>IF(I197="Yes", AO81, " ")</f>
        <v xml:space="preserve"> </v>
      </c>
      <c r="E97" s="301"/>
      <c r="F97" s="301"/>
      <c r="G97" s="226" t="str">
        <f>IF(I197="Yes", "Amount of Base Subtotal", " ")</f>
        <v xml:space="preserve"> </v>
      </c>
      <c r="H97" s="729" t="str">
        <f>IF(I197="Yes", I89+I93, " ")</f>
        <v xml:space="preserve"> </v>
      </c>
      <c r="I97" s="435"/>
      <c r="J97" s="301"/>
      <c r="K97" s="518"/>
      <c r="L97" s="705"/>
      <c r="M97" s="705"/>
    </row>
    <row r="98" spans="1:49" ht="16.5" customHeight="1" thickBot="1" x14ac:dyDescent="0.3">
      <c r="A98" s="408" t="s">
        <v>156</v>
      </c>
      <c r="B98" s="409"/>
      <c r="C98" s="375"/>
      <c r="D98" s="375"/>
      <c r="E98" s="375"/>
      <c r="F98" s="375"/>
      <c r="G98" s="375"/>
      <c r="H98" s="375"/>
      <c r="I98" s="730" t="str">
        <f>IF(AND(C283="Yes",C285="Yes",I197="Yes"),I91+I95, IF(AND(C283="Yes", C285="No", I197="Yes"), I91+I95, " "))</f>
        <v xml:space="preserve"> </v>
      </c>
      <c r="J98" s="301"/>
      <c r="K98" s="518"/>
      <c r="L98" s="705"/>
      <c r="M98" s="705"/>
      <c r="AK98" s="731" t="s">
        <v>193</v>
      </c>
      <c r="AO98" s="706">
        <f>K85</f>
        <v>0</v>
      </c>
    </row>
    <row r="99" spans="1:49" ht="16.5" customHeight="1" x14ac:dyDescent="0.25">
      <c r="A99" s="910"/>
      <c r="B99" s="226"/>
      <c r="C99" s="262"/>
      <c r="D99" s="262"/>
      <c r="E99" s="262"/>
      <c r="F99" s="262"/>
      <c r="G99" s="262"/>
      <c r="H99" s="415"/>
      <c r="I99" s="301"/>
      <c r="J99" s="301"/>
      <c r="K99" s="416"/>
      <c r="L99" s="710"/>
      <c r="M99" s="710"/>
      <c r="AJ99" s="326"/>
      <c r="AK99" s="731" t="s">
        <v>192</v>
      </c>
      <c r="AL99" s="326"/>
      <c r="AM99" s="427"/>
      <c r="AN99" s="656"/>
      <c r="AO99" s="724">
        <f>AO86</f>
        <v>0</v>
      </c>
    </row>
    <row r="100" spans="1:49" ht="16.5" customHeight="1" x14ac:dyDescent="0.25">
      <c r="A100" s="341" t="s">
        <v>49</v>
      </c>
      <c r="B100" s="342"/>
      <c r="C100" s="301"/>
      <c r="D100" s="301"/>
      <c r="E100" s="301"/>
      <c r="F100" s="301"/>
      <c r="G100" s="301"/>
      <c r="H100" s="301"/>
      <c r="I100" s="301"/>
      <c r="J100" s="301"/>
      <c r="K100" s="338"/>
      <c r="L100" s="707"/>
      <c r="M100" s="707"/>
      <c r="N100" s="326"/>
      <c r="O100" s="326"/>
      <c r="P100" s="326"/>
      <c r="Q100" s="326"/>
      <c r="R100" s="326"/>
      <c r="S100" s="326"/>
      <c r="T100" s="326"/>
      <c r="U100" s="326"/>
      <c r="V100" s="326"/>
      <c r="W100" s="326"/>
      <c r="X100" s="326"/>
      <c r="Y100" s="326"/>
      <c r="Z100" s="510"/>
      <c r="AA100" s="510"/>
      <c r="AB100" s="326"/>
      <c r="AC100" s="326"/>
      <c r="AD100" s="510"/>
      <c r="AE100" s="510"/>
      <c r="AF100" s="326"/>
      <c r="AG100" s="326"/>
      <c r="AH100" s="326"/>
      <c r="AI100" s="326"/>
      <c r="AJ100" s="326"/>
      <c r="AK100" s="731" t="s">
        <v>163</v>
      </c>
      <c r="AL100" s="326"/>
      <c r="AM100" s="326"/>
      <c r="AO100" s="732">
        <f>IF(AO99&gt;AO98, 0, AO98-AO99)</f>
        <v>0</v>
      </c>
      <c r="AP100" s="326"/>
      <c r="AQ100" s="326"/>
      <c r="AR100" s="326"/>
      <c r="AS100" s="326"/>
      <c r="AT100" s="326"/>
      <c r="AU100" s="326"/>
      <c r="AV100" s="326"/>
      <c r="AW100" s="326"/>
    </row>
    <row r="101" spans="1:49" ht="16.5" customHeight="1" thickBot="1" x14ac:dyDescent="0.3">
      <c r="A101" s="910" t="s">
        <v>24</v>
      </c>
      <c r="B101" s="226"/>
      <c r="C101" s="301"/>
      <c r="D101" s="301"/>
      <c r="E101" s="301"/>
      <c r="F101" s="301"/>
      <c r="G101" s="301"/>
      <c r="H101" s="301"/>
      <c r="I101" s="615">
        <f>IF(AND(C283="Yes",C285="Yes"),K85-I63-G77-K75-K55-K34+K186+K129,IF(AND(C283="Yes",C285="No"),I84-I63-G77-K75-K55-K34+K186+K129, K80-K230-K231-K232))</f>
        <v>0</v>
      </c>
      <c r="J101" s="261"/>
      <c r="K101" s="338"/>
      <c r="L101" s="707"/>
      <c r="M101" s="707"/>
      <c r="N101" s="426"/>
      <c r="O101" s="426"/>
      <c r="P101" s="427"/>
      <c r="Q101" s="326"/>
      <c r="R101" s="326"/>
      <c r="S101" s="326"/>
      <c r="T101" s="326"/>
      <c r="U101" s="326"/>
      <c r="V101" s="326"/>
      <c r="W101" s="326"/>
      <c r="X101" s="326"/>
      <c r="Y101" s="326"/>
      <c r="Z101" s="510"/>
      <c r="AA101" s="510"/>
      <c r="AB101" s="326"/>
      <c r="AC101" s="326"/>
      <c r="AD101" s="510"/>
      <c r="AE101" s="510"/>
      <c r="AF101" s="326"/>
      <c r="AG101" s="326"/>
      <c r="AH101" s="326"/>
      <c r="AI101" s="326"/>
      <c r="AK101" s="708" t="s">
        <v>164</v>
      </c>
      <c r="AM101" s="725" t="e">
        <f>AM80/AO80</f>
        <v>#DIV/0!</v>
      </c>
      <c r="AN101" s="725" t="e">
        <f>AN80/AO80</f>
        <v>#DIV/0!</v>
      </c>
      <c r="AO101" s="733" t="e">
        <f>AM101+AN101</f>
        <v>#DIV/0!</v>
      </c>
      <c r="AP101" s="326"/>
      <c r="AQ101" s="326"/>
      <c r="AR101" s="326"/>
      <c r="AS101" s="326"/>
      <c r="AT101" s="326"/>
      <c r="AU101" s="326"/>
      <c r="AV101" s="326"/>
      <c r="AW101" s="326"/>
    </row>
    <row r="102" spans="1:49" ht="16.5" customHeight="1" thickTop="1" thickBot="1" x14ac:dyDescent="0.3">
      <c r="A102" s="910" t="s">
        <v>52</v>
      </c>
      <c r="B102" s="226"/>
      <c r="C102" s="301"/>
      <c r="D102" s="301"/>
      <c r="E102" s="301"/>
      <c r="F102" s="301"/>
      <c r="G102" s="301"/>
      <c r="H102" s="301"/>
      <c r="I102" s="616">
        <v>0.69499999999999995</v>
      </c>
      <c r="J102" s="433"/>
      <c r="K102" s="520"/>
      <c r="L102" s="710"/>
      <c r="M102" s="710"/>
      <c r="N102" s="326"/>
      <c r="O102" s="326"/>
      <c r="P102" s="427"/>
      <c r="Q102" s="326"/>
      <c r="R102" s="326"/>
      <c r="S102" s="326"/>
      <c r="T102" s="326"/>
      <c r="U102" s="326"/>
      <c r="V102" s="326"/>
      <c r="W102" s="326"/>
      <c r="X102" s="326"/>
      <c r="Y102" s="326"/>
      <c r="Z102" s="510"/>
      <c r="AA102" s="510"/>
      <c r="AB102" s="326"/>
      <c r="AC102" s="326"/>
      <c r="AD102" s="510"/>
      <c r="AE102" s="510"/>
      <c r="AF102" s="326"/>
      <c r="AG102" s="326"/>
      <c r="AH102" s="326"/>
      <c r="AI102" s="326"/>
      <c r="AO102" s="326"/>
      <c r="AP102" s="326"/>
      <c r="AQ102" s="326"/>
      <c r="AR102" s="326"/>
      <c r="AS102" s="326"/>
      <c r="AT102" s="326"/>
      <c r="AU102" s="326"/>
      <c r="AV102" s="326"/>
      <c r="AW102" s="326"/>
    </row>
    <row r="103" spans="1:49" ht="16.5" customHeight="1" thickTop="1" thickBot="1" x14ac:dyDescent="0.3">
      <c r="A103" s="428" t="s">
        <v>48</v>
      </c>
      <c r="B103" s="226"/>
      <c r="C103" s="301"/>
      <c r="D103" s="301"/>
      <c r="E103" s="301"/>
      <c r="F103" s="301"/>
      <c r="G103" s="301"/>
      <c r="H103" s="301"/>
      <c r="I103" s="301"/>
      <c r="J103" s="301"/>
      <c r="K103" s="734">
        <f>IF(I197="No", I101*I102, " ")</f>
        <v>0</v>
      </c>
      <c r="L103" s="705"/>
      <c r="M103" s="705"/>
      <c r="AK103" s="708" t="s">
        <v>178</v>
      </c>
      <c r="AM103" s="713" t="e">
        <f>AO100*AM101</f>
        <v>#DIV/0!</v>
      </c>
      <c r="AN103" s="656" t="e">
        <f>AO100*AN101</f>
        <v>#DIV/0!</v>
      </c>
      <c r="AO103" s="656" t="e">
        <f>AM103+AN103</f>
        <v>#DIV/0!</v>
      </c>
    </row>
    <row r="104" spans="1:49" ht="16.5" customHeight="1" x14ac:dyDescent="0.25">
      <c r="A104" s="910"/>
      <c r="B104" s="226"/>
      <c r="C104" s="262"/>
      <c r="D104" s="262"/>
      <c r="E104" s="262"/>
      <c r="F104" s="262"/>
      <c r="G104" s="262"/>
      <c r="H104" s="415"/>
      <c r="I104" s="301"/>
      <c r="J104" s="301"/>
      <c r="K104" s="416"/>
      <c r="L104" s="710"/>
      <c r="M104" s="710"/>
      <c r="AK104" s="866" t="s">
        <v>179</v>
      </c>
      <c r="AM104" s="482">
        <f>I90</f>
        <v>0</v>
      </c>
      <c r="AN104" s="482">
        <f>I94</f>
        <v>0</v>
      </c>
      <c r="AO104" s="725" t="e">
        <f>(AM104*AM101)+(AN104*AN101)</f>
        <v>#DIV/0!</v>
      </c>
    </row>
    <row r="105" spans="1:49" ht="16.5" customHeight="1" x14ac:dyDescent="0.25">
      <c r="A105" s="910"/>
      <c r="B105" s="226"/>
      <c r="C105" s="262"/>
      <c r="D105" s="262"/>
      <c r="E105" s="262"/>
      <c r="F105" s="262"/>
      <c r="G105" s="262"/>
      <c r="H105" s="415"/>
      <c r="I105" s="301"/>
      <c r="J105" s="301"/>
      <c r="K105" s="416"/>
      <c r="L105" s="710"/>
      <c r="M105" s="710"/>
      <c r="AK105" s="708" t="s">
        <v>180</v>
      </c>
      <c r="AM105" s="656" t="e">
        <f>AM103*AM104</f>
        <v>#DIV/0!</v>
      </c>
      <c r="AN105" s="656" t="e">
        <f>AN103*AN104</f>
        <v>#DIV/0!</v>
      </c>
      <c r="AO105" s="713" t="e">
        <f>AO103*AO104</f>
        <v>#DIV/0!</v>
      </c>
    </row>
    <row r="106" spans="1:49" ht="16.5" customHeight="1" x14ac:dyDescent="0.25">
      <c r="A106" s="910"/>
      <c r="B106" s="226"/>
      <c r="C106" s="262"/>
      <c r="D106" s="262"/>
      <c r="E106" s="262"/>
      <c r="F106" s="262"/>
      <c r="G106" s="262"/>
      <c r="H106" s="415"/>
      <c r="I106" s="301"/>
      <c r="J106" s="301"/>
      <c r="K106" s="416"/>
      <c r="L106" s="710"/>
      <c r="M106" s="710"/>
    </row>
    <row r="107" spans="1:49" ht="16.5" customHeight="1" thickBot="1" x14ac:dyDescent="0.3">
      <c r="A107" s="910"/>
      <c r="B107" s="226"/>
      <c r="C107" s="262"/>
      <c r="D107" s="262"/>
      <c r="E107" s="262"/>
      <c r="F107" s="281"/>
      <c r="G107" s="262"/>
      <c r="H107" s="415"/>
      <c r="I107" s="301"/>
      <c r="K107" s="416"/>
      <c r="L107" s="710"/>
      <c r="M107" s="710"/>
    </row>
    <row r="108" spans="1:49" ht="16.5" customHeight="1" x14ac:dyDescent="0.25">
      <c r="A108" s="417" t="s">
        <v>18</v>
      </c>
      <c r="B108" s="418"/>
      <c r="C108" s="419"/>
      <c r="D108" s="419"/>
      <c r="E108" s="419"/>
      <c r="F108" s="419"/>
      <c r="G108" s="419"/>
      <c r="H108" s="420"/>
      <c r="I108" s="421"/>
      <c r="J108" s="421"/>
      <c r="K108" s="735">
        <f>IF(AND(C283="Yes",C285="Yes",I197="No"),K85+J63+K103,IF(AND(C283="Yes",C285="No",I197="No"),K80+K103,IF(AND(C283="Yes",C285="Yes",I197="Yes"),K85+J63+I98,IF(AND(C283="Yes",C285="No",I197="Yes"),K80+I98,IF(AND(C283="No", C285="No", I197="No"),K80+K103, K80+K103)))))</f>
        <v>0</v>
      </c>
      <c r="L108" s="705"/>
      <c r="M108" s="705"/>
      <c r="AK108" s="708" t="s">
        <v>184</v>
      </c>
      <c r="AM108" s="656" t="e">
        <f>AM80+AM103</f>
        <v>#DIV/0!</v>
      </c>
      <c r="AN108" s="656" t="e">
        <f>AN80+AN103</f>
        <v>#DIV/0!</v>
      </c>
      <c r="AO108" s="656" t="e">
        <f>AM108+AN108</f>
        <v>#DIV/0!</v>
      </c>
    </row>
    <row r="109" spans="1:49" ht="16.5" customHeight="1" x14ac:dyDescent="0.25">
      <c r="A109" s="617"/>
      <c r="B109" s="618"/>
      <c r="I109" s="619"/>
      <c r="J109" s="619"/>
      <c r="K109" s="620"/>
      <c r="L109" s="736"/>
      <c r="M109" s="736"/>
      <c r="AK109" s="866" t="s">
        <v>179</v>
      </c>
      <c r="AM109" s="482">
        <f>I90</f>
        <v>0</v>
      </c>
      <c r="AN109" s="482">
        <f>I94</f>
        <v>0</v>
      </c>
      <c r="AO109" s="737" t="e">
        <f>AO104</f>
        <v>#DIV/0!</v>
      </c>
    </row>
    <row r="110" spans="1:49" ht="14.4" thickBot="1" x14ac:dyDescent="0.3">
      <c r="A110" s="843"/>
      <c r="B110" s="844"/>
      <c r="C110" s="845"/>
      <c r="D110" s="845"/>
      <c r="E110" s="845"/>
      <c r="F110" s="845"/>
      <c r="G110" s="845"/>
      <c r="H110" s="845"/>
      <c r="I110" s="845"/>
      <c r="J110" s="845"/>
      <c r="K110" s="845"/>
      <c r="L110" s="738"/>
      <c r="M110" s="738"/>
      <c r="AK110" s="739" t="s">
        <v>182</v>
      </c>
      <c r="AL110" s="912"/>
      <c r="AM110" s="706" t="e">
        <f>AM82+AM105</f>
        <v>#DIV/0!</v>
      </c>
      <c r="AN110" s="706" t="e">
        <f>AN82+AN105</f>
        <v>#DIV/0!</v>
      </c>
      <c r="AO110" s="706" t="e">
        <f>AM110+AN110</f>
        <v>#DIV/0!</v>
      </c>
    </row>
    <row r="111" spans="1:49" x14ac:dyDescent="0.25">
      <c r="A111" s="863" t="s">
        <v>441</v>
      </c>
      <c r="B111" s="864"/>
      <c r="C111" s="865"/>
      <c r="D111" s="865"/>
      <c r="E111" s="865"/>
      <c r="F111" s="865"/>
      <c r="G111" s="865"/>
      <c r="H111" s="865"/>
      <c r="I111" s="865"/>
      <c r="J111" s="865"/>
      <c r="K111" s="865"/>
      <c r="L111" s="738"/>
      <c r="M111" s="738"/>
      <c r="AM111" s="713" t="e">
        <f>AM108*AM109</f>
        <v>#DIV/0!</v>
      </c>
      <c r="AN111" s="713" t="e">
        <f>AN108*AN109</f>
        <v>#DIV/0!</v>
      </c>
      <c r="AO111" s="713" t="e">
        <f>AO108*AO104</f>
        <v>#DIV/0!</v>
      </c>
    </row>
    <row r="112" spans="1:49" ht="18.600000000000001" thickBot="1" x14ac:dyDescent="0.4">
      <c r="A112" s="832" t="s">
        <v>430</v>
      </c>
      <c r="B112" s="453"/>
      <c r="C112" s="447"/>
      <c r="D112" s="447"/>
      <c r="E112" s="447"/>
      <c r="F112" s="447"/>
      <c r="G112" s="447"/>
      <c r="H112" s="447"/>
      <c r="I112" s="447"/>
      <c r="J112" s="447"/>
      <c r="K112" s="447"/>
      <c r="L112" s="741"/>
      <c r="M112" s="741"/>
    </row>
    <row r="113" spans="1:52" s="15" customFormat="1" ht="15" customHeight="1" thickTop="1" thickBot="1" x14ac:dyDescent="0.3">
      <c r="A113" s="319" t="s">
        <v>423</v>
      </c>
      <c r="B113" s="319"/>
      <c r="C113" s="320"/>
      <c r="D113" s="320"/>
      <c r="E113" s="321" t="s">
        <v>60</v>
      </c>
      <c r="F113" s="438"/>
      <c r="G113" s="320"/>
      <c r="H113" s="320"/>
      <c r="I113" s="320"/>
      <c r="J113" s="320"/>
      <c r="K113" s="454" t="s">
        <v>272</v>
      </c>
      <c r="L113" s="555"/>
      <c r="M113" s="555"/>
      <c r="N113" s="328"/>
      <c r="O113" s="328"/>
      <c r="P113" s="639"/>
      <c r="Q113" s="328"/>
      <c r="R113" s="328"/>
      <c r="S113" s="328"/>
      <c r="T113" s="328"/>
      <c r="U113" s="328"/>
      <c r="V113" s="328"/>
      <c r="W113" s="328"/>
      <c r="X113" s="328"/>
      <c r="Y113" s="328"/>
      <c r="Z113" s="512"/>
      <c r="AA113" s="512"/>
      <c r="AB113" s="328"/>
      <c r="AC113" s="328"/>
      <c r="AD113" s="512"/>
      <c r="AE113" s="512"/>
      <c r="AF113" s="328"/>
      <c r="AG113" s="328"/>
      <c r="AH113" s="328"/>
      <c r="AI113" s="328"/>
      <c r="AJ113" s="328"/>
      <c r="AK113" s="328"/>
      <c r="AL113" s="328"/>
      <c r="AM113" s="328"/>
      <c r="AN113" s="328"/>
      <c r="AO113" s="328"/>
      <c r="AP113" s="328"/>
      <c r="AQ113" s="328"/>
      <c r="AR113" s="328"/>
      <c r="AS113" s="328"/>
      <c r="AT113" s="328"/>
      <c r="AU113" s="328"/>
      <c r="AV113" s="328"/>
      <c r="AW113" s="328"/>
      <c r="AX113" s="328"/>
      <c r="AY113" s="328"/>
      <c r="AZ113" s="328"/>
    </row>
    <row r="114" spans="1:52" ht="16.5" customHeight="1" thickTop="1" x14ac:dyDescent="0.25">
      <c r="A114" s="438" t="s">
        <v>129</v>
      </c>
      <c r="B114" s="438"/>
      <c r="C114" s="438"/>
      <c r="D114" s="438"/>
      <c r="E114" s="438"/>
      <c r="F114" s="438"/>
      <c r="G114" s="438"/>
      <c r="H114" s="439"/>
      <c r="I114" s="438"/>
      <c r="J114" s="438"/>
      <c r="K114" s="320"/>
    </row>
    <row r="115" spans="1:52" ht="16.5" customHeight="1" thickBot="1" x14ac:dyDescent="0.3">
      <c r="A115" s="438" t="s">
        <v>196</v>
      </c>
      <c r="B115" s="438"/>
      <c r="C115" s="438"/>
      <c r="D115" s="438"/>
      <c r="E115" s="438"/>
      <c r="F115" s="438"/>
      <c r="G115" s="438"/>
      <c r="H115" s="439"/>
      <c r="I115" s="438"/>
      <c r="J115" s="438"/>
      <c r="K115" s="320"/>
      <c r="O115" s="326"/>
      <c r="P115" s="326"/>
      <c r="Q115" s="326"/>
      <c r="R115" s="326"/>
      <c r="S115" s="326"/>
      <c r="T115" s="326"/>
      <c r="U115" s="326"/>
      <c r="V115" s="326"/>
      <c r="W115" s="326"/>
      <c r="X115" s="326"/>
      <c r="Y115" s="326"/>
      <c r="Z115" s="510"/>
      <c r="AA115" s="510"/>
      <c r="AB115" s="326"/>
    </row>
    <row r="116" spans="1:52" ht="16.5" hidden="1" customHeight="1" x14ac:dyDescent="0.25">
      <c r="A116" s="874"/>
      <c r="B116" s="874"/>
      <c r="C116" s="874"/>
      <c r="D116" s="874"/>
      <c r="E116" s="874"/>
      <c r="F116" s="671" t="s">
        <v>194</v>
      </c>
      <c r="G116" s="874"/>
      <c r="H116" s="672"/>
      <c r="I116" s="874"/>
      <c r="J116" s="561"/>
      <c r="K116" s="561"/>
      <c r="O116" s="326"/>
      <c r="P116" s="326"/>
      <c r="Q116" s="326"/>
      <c r="R116" s="326"/>
      <c r="S116" s="326"/>
      <c r="T116" s="326"/>
      <c r="U116" s="326"/>
      <c r="V116" s="326"/>
      <c r="W116" s="326"/>
      <c r="X116" s="326"/>
      <c r="Y116" s="326"/>
      <c r="Z116" s="510"/>
      <c r="AA116" s="510"/>
      <c r="AB116" s="326"/>
    </row>
    <row r="117" spans="1:52" ht="16.5" hidden="1" customHeight="1" x14ac:dyDescent="0.25">
      <c r="A117" s="874"/>
      <c r="B117" s="874"/>
      <c r="C117" s="874"/>
      <c r="D117" s="874"/>
      <c r="E117" s="874"/>
      <c r="F117" s="673"/>
      <c r="G117" s="874"/>
      <c r="H117" s="672"/>
      <c r="I117" s="874"/>
      <c r="J117" s="561"/>
      <c r="K117" s="561"/>
      <c r="O117" s="326"/>
      <c r="P117" s="326"/>
      <c r="Q117" s="326"/>
      <c r="R117" s="326"/>
      <c r="S117" s="326"/>
      <c r="T117" s="326"/>
      <c r="U117" s="326"/>
      <c r="V117" s="326"/>
      <c r="W117" s="326"/>
      <c r="X117" s="326"/>
      <c r="Y117" s="326"/>
      <c r="Z117" s="510"/>
      <c r="AA117" s="510"/>
      <c r="AB117" s="326"/>
    </row>
    <row r="118" spans="1:52" ht="16.5" hidden="1" customHeight="1" x14ac:dyDescent="0.25">
      <c r="A118" s="874"/>
      <c r="B118" s="874"/>
      <c r="C118" s="874"/>
      <c r="D118" s="874"/>
      <c r="E118" s="874"/>
      <c r="F118" s="673">
        <v>75000</v>
      </c>
      <c r="G118" s="874"/>
      <c r="H118" s="672"/>
      <c r="I118" s="874"/>
      <c r="J118" s="561"/>
      <c r="K118" s="561"/>
      <c r="O118" s="326"/>
      <c r="P118" s="326"/>
      <c r="Q118" s="326"/>
      <c r="R118" s="326"/>
      <c r="S118" s="326"/>
      <c r="T118" s="326"/>
      <c r="U118" s="326"/>
      <c r="V118" s="326"/>
      <c r="W118" s="326"/>
      <c r="X118" s="326"/>
      <c r="Y118" s="326"/>
      <c r="Z118" s="510"/>
      <c r="AA118" s="510"/>
      <c r="AB118" s="326"/>
    </row>
    <row r="119" spans="1:52" ht="16.5" hidden="1" customHeight="1" x14ac:dyDescent="0.25">
      <c r="A119" s="874"/>
      <c r="B119" s="874"/>
      <c r="C119" s="874"/>
      <c r="D119" s="874"/>
      <c r="E119" s="874"/>
      <c r="F119" s="673">
        <v>90000</v>
      </c>
      <c r="G119" s="874"/>
      <c r="H119" s="672"/>
      <c r="I119" s="874"/>
      <c r="J119" s="561"/>
      <c r="K119" s="561"/>
      <c r="O119" s="326"/>
      <c r="P119" s="326"/>
      <c r="Q119" s="326"/>
      <c r="R119" s="326"/>
      <c r="S119" s="326"/>
      <c r="T119" s="326"/>
      <c r="U119" s="326"/>
      <c r="V119" s="326"/>
      <c r="W119" s="326"/>
      <c r="X119" s="326"/>
      <c r="Y119" s="326"/>
      <c r="Z119" s="510"/>
      <c r="AA119" s="510"/>
      <c r="AB119" s="326"/>
    </row>
    <row r="120" spans="1:52" ht="16.5" hidden="1" customHeight="1" x14ac:dyDescent="0.25">
      <c r="A120" s="874"/>
      <c r="B120" s="874"/>
      <c r="C120" s="874"/>
      <c r="D120" s="874"/>
      <c r="E120" s="874"/>
      <c r="F120" s="673">
        <v>95000</v>
      </c>
      <c r="G120" s="874"/>
      <c r="H120" s="672"/>
      <c r="I120" s="874"/>
      <c r="J120" s="561"/>
      <c r="K120" s="561"/>
      <c r="O120" s="326"/>
      <c r="P120" s="326"/>
      <c r="Q120" s="326"/>
      <c r="R120" s="326"/>
      <c r="S120" s="326"/>
      <c r="T120" s="326"/>
      <c r="U120" s="326"/>
      <c r="V120" s="326"/>
      <c r="W120" s="326"/>
      <c r="X120" s="326"/>
      <c r="Y120" s="326"/>
      <c r="Z120" s="510"/>
      <c r="AA120" s="510"/>
      <c r="AB120" s="326"/>
    </row>
    <row r="121" spans="1:52" ht="16.5" hidden="1" customHeight="1" x14ac:dyDescent="0.25">
      <c r="A121" s="874"/>
      <c r="B121" s="874"/>
      <c r="C121" s="874"/>
      <c r="D121" s="874"/>
      <c r="E121" s="874"/>
      <c r="F121" s="673">
        <v>100000</v>
      </c>
      <c r="G121" s="874"/>
      <c r="H121" s="672"/>
      <c r="I121" s="874"/>
      <c r="J121" s="561"/>
      <c r="K121" s="561"/>
      <c r="O121" s="326"/>
      <c r="P121" s="326"/>
      <c r="Q121" s="326"/>
      <c r="R121" s="326"/>
      <c r="S121" s="326"/>
      <c r="T121" s="326"/>
      <c r="U121" s="326"/>
      <c r="V121" s="326"/>
      <c r="W121" s="326"/>
      <c r="X121" s="326"/>
      <c r="Y121" s="326"/>
      <c r="Z121" s="510"/>
      <c r="AA121" s="510"/>
      <c r="AB121" s="326"/>
    </row>
    <row r="122" spans="1:52" ht="16.5" hidden="1" customHeight="1" thickBot="1" x14ac:dyDescent="0.3">
      <c r="A122" s="874"/>
      <c r="B122" s="874"/>
      <c r="C122" s="874"/>
      <c r="D122" s="874"/>
      <c r="E122" s="874"/>
      <c r="F122" s="673">
        <v>181500</v>
      </c>
      <c r="G122" s="874"/>
      <c r="H122" s="672"/>
      <c r="I122" s="874"/>
      <c r="J122" s="561"/>
      <c r="K122" s="561"/>
      <c r="O122" s="326"/>
      <c r="P122" s="326"/>
      <c r="Q122" s="326"/>
      <c r="R122" s="326"/>
      <c r="S122" s="326"/>
      <c r="T122" s="326"/>
      <c r="U122" s="326"/>
      <c r="V122" s="326"/>
      <c r="W122" s="326"/>
      <c r="X122" s="326"/>
      <c r="Y122" s="326"/>
      <c r="Z122" s="510"/>
      <c r="AA122" s="510"/>
      <c r="AB122" s="326"/>
    </row>
    <row r="123" spans="1:52" s="15" customFormat="1" ht="15" customHeight="1" thickTop="1" thickBot="1" x14ac:dyDescent="0.3">
      <c r="A123" s="438" t="s">
        <v>197</v>
      </c>
      <c r="B123" s="438"/>
      <c r="C123" s="438"/>
      <c r="D123" s="438"/>
      <c r="E123" s="438"/>
      <c r="F123" s="455"/>
      <c r="G123" s="438"/>
      <c r="H123" s="439"/>
      <c r="I123" s="438"/>
      <c r="J123" s="438"/>
      <c r="K123" s="320"/>
      <c r="L123" s="326"/>
      <c r="M123" s="326"/>
      <c r="N123" s="328"/>
      <c r="O123" s="326"/>
      <c r="P123" s="640"/>
      <c r="Q123" s="326"/>
      <c r="R123" s="326"/>
      <c r="S123" s="326"/>
      <c r="T123" s="326"/>
      <c r="U123" s="326"/>
      <c r="V123" s="326"/>
      <c r="W123" s="326"/>
      <c r="X123" s="326"/>
      <c r="Y123" s="326"/>
      <c r="Z123" s="510"/>
      <c r="AA123" s="510"/>
      <c r="AB123" s="326"/>
      <c r="AC123" s="328"/>
      <c r="AD123" s="512"/>
      <c r="AE123" s="512"/>
      <c r="AF123" s="328"/>
      <c r="AG123" s="328"/>
      <c r="AH123" s="328"/>
      <c r="AI123" s="328"/>
      <c r="AJ123" s="328"/>
      <c r="AK123" s="328"/>
      <c r="AL123" s="328"/>
      <c r="AM123" s="328"/>
      <c r="AN123" s="328"/>
      <c r="AO123" s="328"/>
      <c r="AP123" s="328"/>
      <c r="AQ123" s="328"/>
      <c r="AR123" s="328"/>
      <c r="AS123" s="328"/>
      <c r="AT123" s="328"/>
      <c r="AU123" s="328"/>
      <c r="AV123" s="328"/>
      <c r="AW123" s="328"/>
      <c r="AX123" s="328"/>
      <c r="AY123" s="328"/>
      <c r="AZ123" s="328"/>
    </row>
    <row r="124" spans="1:52" s="15" customFormat="1" ht="15" customHeight="1" thickTop="1" thickBot="1" x14ac:dyDescent="0.3">
      <c r="A124" s="443"/>
      <c r="B124" s="453"/>
      <c r="C124" s="328"/>
      <c r="D124" s="328"/>
      <c r="E124" s="328"/>
      <c r="F124" s="328"/>
      <c r="G124" s="328"/>
      <c r="H124" s="328"/>
      <c r="I124" s="328"/>
      <c r="J124" s="328"/>
      <c r="K124" s="328"/>
      <c r="L124" s="326"/>
      <c r="M124" s="326"/>
      <c r="N124" s="328"/>
      <c r="O124" s="326"/>
      <c r="P124" s="640"/>
      <c r="Q124" s="326"/>
      <c r="R124" s="326"/>
      <c r="S124" s="326"/>
      <c r="T124" s="326"/>
      <c r="U124" s="326"/>
      <c r="V124" s="326"/>
      <c r="W124" s="326"/>
      <c r="X124" s="326"/>
      <c r="Y124" s="326"/>
      <c r="Z124" s="510"/>
      <c r="AA124" s="510"/>
      <c r="AB124" s="326"/>
      <c r="AC124" s="328"/>
      <c r="AD124" s="512"/>
      <c r="AE124" s="512"/>
      <c r="AF124" s="328"/>
      <c r="AG124" s="328"/>
      <c r="AH124" s="328"/>
      <c r="AI124" s="328"/>
      <c r="AJ124" s="328"/>
      <c r="AK124" s="328"/>
      <c r="AL124" s="328"/>
      <c r="AM124" s="328"/>
      <c r="AN124" s="328"/>
      <c r="AO124" s="328"/>
      <c r="AP124" s="328"/>
      <c r="AQ124" s="328"/>
      <c r="AR124" s="328"/>
      <c r="AS124" s="328"/>
      <c r="AT124" s="328"/>
      <c r="AU124" s="328"/>
      <c r="AV124" s="328"/>
      <c r="AW124" s="328"/>
      <c r="AX124" s="328"/>
      <c r="AY124" s="328"/>
      <c r="AZ124" s="328"/>
    </row>
    <row r="125" spans="1:52" ht="15" thickTop="1" thickBot="1" x14ac:dyDescent="0.3">
      <c r="A125" s="319" t="s">
        <v>424</v>
      </c>
      <c r="B125" s="319"/>
      <c r="C125" s="320"/>
      <c r="D125" s="320"/>
      <c r="E125" s="321" t="s">
        <v>60</v>
      </c>
      <c r="F125" s="320"/>
      <c r="G125" s="320"/>
      <c r="H125" s="320"/>
      <c r="I125" s="320"/>
      <c r="J125" s="320"/>
      <c r="K125" s="456" t="s">
        <v>104</v>
      </c>
      <c r="L125" s="744"/>
      <c r="M125" s="744"/>
      <c r="O125" s="326"/>
      <c r="P125" s="326"/>
      <c r="Q125" s="326"/>
      <c r="R125" s="326"/>
      <c r="S125" s="326"/>
      <c r="T125" s="326"/>
      <c r="U125" s="326"/>
      <c r="V125" s="326"/>
      <c r="W125" s="326"/>
      <c r="X125" s="326"/>
      <c r="Y125" s="326"/>
      <c r="Z125" s="510"/>
      <c r="AA125" s="510"/>
      <c r="AB125" s="326"/>
    </row>
    <row r="126" spans="1:52" ht="20.25" customHeight="1" thickTop="1" x14ac:dyDescent="0.25">
      <c r="A126" s="319" t="s">
        <v>126</v>
      </c>
      <c r="B126" s="319"/>
      <c r="C126" s="320"/>
      <c r="D126" s="320"/>
      <c r="E126" s="320"/>
      <c r="F126" s="320"/>
      <c r="G126" s="320"/>
      <c r="H126" s="320"/>
      <c r="I126" s="320"/>
      <c r="J126" s="320"/>
      <c r="K126" s="438"/>
      <c r="L126" s="522"/>
      <c r="M126" s="522"/>
      <c r="O126" s="326"/>
      <c r="P126" s="326"/>
      <c r="Q126" s="326"/>
      <c r="R126" s="326"/>
      <c r="S126" s="326"/>
      <c r="T126" s="326"/>
      <c r="U126" s="326"/>
      <c r="V126" s="326"/>
      <c r="W126" s="326"/>
      <c r="X126" s="326"/>
      <c r="Y126" s="326"/>
      <c r="Z126" s="510"/>
      <c r="AA126" s="510"/>
      <c r="AB126" s="326"/>
    </row>
    <row r="127" spans="1:52" x14ac:dyDescent="0.25">
      <c r="A127" s="319" t="s">
        <v>130</v>
      </c>
      <c r="B127" s="320"/>
      <c r="C127" s="320"/>
      <c r="D127" s="320"/>
      <c r="E127" s="320"/>
      <c r="F127" s="320"/>
      <c r="G127" s="320"/>
      <c r="H127" s="320"/>
      <c r="I127" s="320"/>
      <c r="J127" s="320"/>
      <c r="K127" s="320"/>
    </row>
    <row r="128" spans="1:52" ht="14.4" thickBot="1" x14ac:dyDescent="0.3">
      <c r="A128" s="319" t="s">
        <v>166</v>
      </c>
      <c r="B128" s="320"/>
      <c r="C128" s="320"/>
      <c r="D128" s="320"/>
      <c r="E128" s="320"/>
      <c r="F128" s="320"/>
      <c r="G128" s="320"/>
      <c r="H128" s="320"/>
      <c r="I128" s="320"/>
      <c r="J128" s="320"/>
      <c r="K128" s="320"/>
    </row>
    <row r="129" spans="1:52" ht="15" thickTop="1" thickBot="1" x14ac:dyDescent="0.3">
      <c r="A129" s="319" t="s">
        <v>448</v>
      </c>
      <c r="B129" s="320"/>
      <c r="C129" s="320"/>
      <c r="D129" s="320"/>
      <c r="E129" s="320"/>
      <c r="F129" s="320"/>
      <c r="G129" s="320"/>
      <c r="H129" s="320"/>
      <c r="I129" s="320"/>
      <c r="J129" s="320"/>
      <c r="K129" s="457"/>
      <c r="L129" s="745"/>
      <c r="M129" s="745"/>
    </row>
    <row r="130" spans="1:52" ht="14.4" thickTop="1" x14ac:dyDescent="0.25">
      <c r="A130" s="319" t="s">
        <v>449</v>
      </c>
      <c r="B130" s="320"/>
      <c r="C130" s="320"/>
      <c r="D130" s="320"/>
      <c r="E130" s="320"/>
      <c r="F130" s="320"/>
      <c r="G130" s="320"/>
      <c r="H130" s="320"/>
      <c r="I130" s="320"/>
      <c r="J130" s="320"/>
      <c r="K130" s="320"/>
      <c r="L130" s="745"/>
      <c r="M130" s="745"/>
    </row>
    <row r="131" spans="1:52" x14ac:dyDescent="0.25">
      <c r="A131" s="453"/>
      <c r="B131" s="453"/>
      <c r="C131" s="328"/>
      <c r="D131" s="328"/>
      <c r="E131" s="328"/>
      <c r="F131" s="328"/>
      <c r="G131" s="328"/>
      <c r="H131" s="328"/>
      <c r="I131" s="328"/>
      <c r="J131" s="328"/>
      <c r="K131" s="443"/>
      <c r="L131" s="90"/>
      <c r="M131" s="90"/>
      <c r="X131" s="867"/>
      <c r="AF131" s="867"/>
      <c r="AG131" s="867"/>
      <c r="AH131" s="867"/>
      <c r="AI131" s="867"/>
      <c r="AJ131" s="867"/>
      <c r="AK131" s="867"/>
      <c r="AL131" s="867"/>
      <c r="AM131" s="867"/>
      <c r="AN131" s="867"/>
      <c r="AO131" s="867"/>
      <c r="AP131" s="867"/>
      <c r="AQ131" s="867"/>
      <c r="AR131" s="867"/>
      <c r="AS131" s="867"/>
      <c r="AT131" s="867"/>
      <c r="AU131" s="867"/>
      <c r="AV131" s="867"/>
      <c r="AW131" s="867"/>
      <c r="AX131" s="867"/>
      <c r="AY131" s="867"/>
      <c r="AZ131" s="867"/>
    </row>
    <row r="132" spans="1:52" ht="26.1" customHeight="1" thickBot="1" x14ac:dyDescent="0.4">
      <c r="A132" s="831" t="s">
        <v>429</v>
      </c>
      <c r="B132" s="627"/>
      <c r="C132" s="627"/>
      <c r="D132" s="627"/>
      <c r="E132" s="627"/>
      <c r="F132" s="627"/>
      <c r="G132" s="627"/>
      <c r="H132" s="627"/>
      <c r="I132" s="629"/>
      <c r="J132" s="629"/>
      <c r="K132" s="629"/>
      <c r="L132" s="189"/>
      <c r="M132" s="189"/>
      <c r="X132" s="867"/>
      <c r="AF132" s="867"/>
      <c r="AG132" s="867"/>
      <c r="AH132" s="867"/>
      <c r="AI132" s="867"/>
      <c r="AJ132" s="867"/>
      <c r="AK132" s="867"/>
      <c r="AL132" s="867"/>
      <c r="AM132" s="867"/>
      <c r="AN132" s="867"/>
      <c r="AO132" s="867"/>
      <c r="AP132" s="867"/>
      <c r="AQ132" s="867"/>
      <c r="AR132" s="867"/>
      <c r="AS132" s="867"/>
      <c r="AT132" s="867"/>
      <c r="AU132" s="867"/>
      <c r="AV132" s="867"/>
      <c r="AW132" s="867"/>
      <c r="AX132" s="867"/>
      <c r="AY132" s="867"/>
      <c r="AZ132" s="867"/>
    </row>
    <row r="133" spans="1:52" ht="15.6" thickTop="1" thickBot="1" x14ac:dyDescent="0.35">
      <c r="A133" s="319" t="s">
        <v>425</v>
      </c>
      <c r="B133" s="319"/>
      <c r="C133" s="321" t="s">
        <v>60</v>
      </c>
      <c r="D133" s="320"/>
      <c r="E133" s="320"/>
      <c r="F133" s="320"/>
      <c r="G133" s="320"/>
      <c r="H133" s="458"/>
      <c r="I133" s="320"/>
      <c r="J133" s="320"/>
      <c r="K133" s="311" t="s">
        <v>266</v>
      </c>
      <c r="L133" s="522"/>
      <c r="M133" s="522"/>
    </row>
    <row r="134" spans="1:52" ht="14.4" thickTop="1" x14ac:dyDescent="0.25">
      <c r="A134" s="319" t="s">
        <v>127</v>
      </c>
      <c r="B134" s="319"/>
      <c r="C134" s="320"/>
      <c r="D134" s="320"/>
      <c r="E134" s="320"/>
      <c r="F134" s="320"/>
      <c r="G134" s="320"/>
      <c r="H134" s="320"/>
      <c r="I134" s="438"/>
      <c r="J134" s="320"/>
      <c r="K134" s="438"/>
      <c r="L134" s="522"/>
      <c r="M134" s="522"/>
      <c r="Z134" s="866"/>
      <c r="AA134" s="866"/>
      <c r="AD134" s="866"/>
      <c r="AE134" s="866"/>
    </row>
    <row r="135" spans="1:52" x14ac:dyDescent="0.25">
      <c r="A135" s="319" t="s">
        <v>337</v>
      </c>
      <c r="B135" s="319"/>
      <c r="C135" s="320"/>
      <c r="D135" s="320"/>
      <c r="E135" s="320"/>
      <c r="F135" s="320"/>
      <c r="G135" s="320"/>
      <c r="H135" s="320"/>
      <c r="I135" s="438"/>
      <c r="J135" s="320"/>
      <c r="K135" s="438"/>
      <c r="L135" s="522"/>
      <c r="M135" s="522"/>
      <c r="Z135" s="866"/>
      <c r="AA135" s="866"/>
      <c r="AD135" s="866"/>
      <c r="AE135" s="866"/>
    </row>
    <row r="136" spans="1:52" x14ac:dyDescent="0.25">
      <c r="A136" s="319" t="s">
        <v>338</v>
      </c>
      <c r="B136" s="319"/>
      <c r="C136" s="320"/>
      <c r="D136" s="320"/>
      <c r="E136" s="320"/>
      <c r="F136" s="320"/>
      <c r="G136" s="320"/>
      <c r="H136" s="320"/>
      <c r="I136" s="438"/>
      <c r="J136" s="320"/>
      <c r="K136" s="438"/>
      <c r="L136" s="522"/>
      <c r="M136" s="522"/>
      <c r="Z136" s="866"/>
      <c r="AA136" s="866"/>
      <c r="AD136" s="866"/>
      <c r="AE136" s="866"/>
    </row>
    <row r="137" spans="1:52" ht="14.4" thickBot="1" x14ac:dyDescent="0.3">
      <c r="A137" s="453"/>
      <c r="B137" s="453"/>
      <c r="C137" s="328"/>
      <c r="D137" s="328"/>
      <c r="E137" s="328"/>
      <c r="F137" s="328"/>
      <c r="G137" s="328"/>
      <c r="H137" s="328"/>
      <c r="I137" s="328"/>
      <c r="J137" s="328"/>
      <c r="K137" s="443"/>
      <c r="L137" s="522"/>
      <c r="M137" s="522"/>
    </row>
    <row r="138" spans="1:52" ht="15.6" thickTop="1" thickBot="1" x14ac:dyDescent="0.35">
      <c r="A138" s="319" t="s">
        <v>426</v>
      </c>
      <c r="B138" s="319"/>
      <c r="C138" s="320"/>
      <c r="D138" s="320"/>
      <c r="E138" s="321">
        <v>0</v>
      </c>
      <c r="F138" s="458"/>
      <c r="G138" s="458"/>
      <c r="H138" s="458"/>
      <c r="I138" s="320"/>
      <c r="J138" s="320"/>
      <c r="K138" s="311" t="s">
        <v>266</v>
      </c>
      <c r="L138" s="522"/>
      <c r="M138" s="522"/>
    </row>
    <row r="139" spans="1:52" ht="14.4" hidden="1" thickTop="1" x14ac:dyDescent="0.25">
      <c r="A139" s="539"/>
      <c r="B139" s="539"/>
      <c r="C139" s="539"/>
      <c r="D139" s="539"/>
      <c r="E139" s="561"/>
      <c r="F139" s="561"/>
      <c r="G139" s="561"/>
      <c r="H139" s="561"/>
      <c r="I139" s="561"/>
      <c r="J139" s="674" t="s">
        <v>70</v>
      </c>
      <c r="K139" s="675" t="s">
        <v>62</v>
      </c>
      <c r="L139" s="746"/>
      <c r="M139" s="746"/>
    </row>
    <row r="140" spans="1:52" ht="14.4" hidden="1" thickTop="1" x14ac:dyDescent="0.25">
      <c r="A140" s="539"/>
      <c r="B140" s="539"/>
      <c r="C140" s="539"/>
      <c r="D140" s="539"/>
      <c r="E140" s="561"/>
      <c r="F140" s="561"/>
      <c r="G140" s="561"/>
      <c r="H140" s="561"/>
      <c r="I140" s="561"/>
      <c r="J140" s="676">
        <v>0</v>
      </c>
      <c r="K140" s="677">
        <f>IF($E$138=0, 0,0)</f>
        <v>0</v>
      </c>
      <c r="L140" s="747"/>
      <c r="M140" s="747"/>
    </row>
    <row r="141" spans="1:52" ht="14.4" hidden="1" thickTop="1" x14ac:dyDescent="0.25">
      <c r="A141" s="539"/>
      <c r="B141" s="539"/>
      <c r="C141" s="539"/>
      <c r="D141" s="539"/>
      <c r="E141" s="561"/>
      <c r="F141" s="561"/>
      <c r="G141" s="561"/>
      <c r="H141" s="561"/>
      <c r="I141" s="561"/>
      <c r="J141" s="676">
        <v>1</v>
      </c>
      <c r="K141" s="677">
        <f>IF($E$138=1, 25000,0)</f>
        <v>0</v>
      </c>
      <c r="L141" s="747"/>
      <c r="M141" s="747"/>
    </row>
    <row r="142" spans="1:52" ht="14.4" hidden="1" thickTop="1" x14ac:dyDescent="0.25">
      <c r="A142" s="539"/>
      <c r="B142" s="539"/>
      <c r="C142" s="539"/>
      <c r="D142" s="539"/>
      <c r="E142" s="561"/>
      <c r="F142" s="561"/>
      <c r="G142" s="561"/>
      <c r="H142" s="561"/>
      <c r="I142" s="561"/>
      <c r="J142" s="676">
        <v>2</v>
      </c>
      <c r="K142" s="677">
        <f>IF($E$138=2, 50000,0)</f>
        <v>0</v>
      </c>
      <c r="L142" s="747"/>
      <c r="M142" s="747"/>
    </row>
    <row r="143" spans="1:52" ht="14.4" hidden="1" thickTop="1" x14ac:dyDescent="0.25">
      <c r="A143" s="539"/>
      <c r="B143" s="539"/>
      <c r="C143" s="539"/>
      <c r="D143" s="539"/>
      <c r="E143" s="561"/>
      <c r="F143" s="561"/>
      <c r="G143" s="561"/>
      <c r="H143" s="561"/>
      <c r="I143" s="561"/>
      <c r="J143" s="676">
        <v>3</v>
      </c>
      <c r="K143" s="677">
        <f>IF($E$138=3, 75000,0)</f>
        <v>0</v>
      </c>
      <c r="L143" s="747"/>
      <c r="M143" s="747"/>
    </row>
    <row r="144" spans="1:52" ht="13.5" hidden="1" customHeight="1" x14ac:dyDescent="0.25">
      <c r="A144" s="539"/>
      <c r="B144" s="539"/>
      <c r="C144" s="539"/>
      <c r="D144" s="539"/>
      <c r="E144" s="561"/>
      <c r="F144" s="561"/>
      <c r="G144" s="561"/>
      <c r="H144" s="561"/>
      <c r="I144" s="561"/>
      <c r="J144" s="676">
        <v>4</v>
      </c>
      <c r="K144" s="677">
        <f>IF($E$138=4, 100000,0)</f>
        <v>0</v>
      </c>
      <c r="L144" s="747"/>
      <c r="M144" s="747"/>
    </row>
    <row r="145" spans="1:13" ht="13.5" hidden="1" customHeight="1" x14ac:dyDescent="0.25">
      <c r="A145" s="539"/>
      <c r="B145" s="539"/>
      <c r="C145" s="539"/>
      <c r="D145" s="539"/>
      <c r="E145" s="561"/>
      <c r="F145" s="561"/>
      <c r="G145" s="561"/>
      <c r="H145" s="561"/>
      <c r="I145" s="561"/>
      <c r="J145" s="676">
        <v>5</v>
      </c>
      <c r="K145" s="677">
        <f>IF($E$138=5, 125000,0)</f>
        <v>0</v>
      </c>
      <c r="L145" s="747"/>
      <c r="M145" s="747"/>
    </row>
    <row r="146" spans="1:13" ht="14.4" hidden="1" thickTop="1" x14ac:dyDescent="0.25">
      <c r="A146" s="539"/>
      <c r="B146" s="539"/>
      <c r="C146" s="539"/>
      <c r="D146" s="539"/>
      <c r="E146" s="561"/>
      <c r="F146" s="561"/>
      <c r="G146" s="561"/>
      <c r="H146" s="561"/>
      <c r="I146" s="561"/>
      <c r="J146" s="676">
        <v>6</v>
      </c>
      <c r="K146" s="677">
        <f>IF($E$138=6, 150000,0)</f>
        <v>0</v>
      </c>
      <c r="L146" s="747"/>
      <c r="M146" s="747"/>
    </row>
    <row r="147" spans="1:13" ht="14.4" hidden="1" thickTop="1" x14ac:dyDescent="0.25">
      <c r="A147" s="539"/>
      <c r="B147" s="539"/>
      <c r="C147" s="539"/>
      <c r="D147" s="539"/>
      <c r="E147" s="561"/>
      <c r="F147" s="561"/>
      <c r="G147" s="561"/>
      <c r="H147" s="561"/>
      <c r="I147" s="561"/>
      <c r="J147" s="676">
        <v>7</v>
      </c>
      <c r="K147" s="677">
        <f>IF($E$138=7, 175000,0)</f>
        <v>0</v>
      </c>
      <c r="L147" s="747"/>
      <c r="M147" s="747"/>
    </row>
    <row r="148" spans="1:13" ht="14.4" hidden="1" thickTop="1" x14ac:dyDescent="0.25">
      <c r="A148" s="539"/>
      <c r="B148" s="539"/>
      <c r="C148" s="539"/>
      <c r="D148" s="539"/>
      <c r="E148" s="561"/>
      <c r="F148" s="561"/>
      <c r="G148" s="561"/>
      <c r="H148" s="561"/>
      <c r="I148" s="561"/>
      <c r="J148" s="676">
        <v>8</v>
      </c>
      <c r="K148" s="677">
        <f>IF($E$138=8, 200000,0)</f>
        <v>0</v>
      </c>
      <c r="L148" s="747"/>
      <c r="M148" s="747"/>
    </row>
    <row r="149" spans="1:13" ht="14.4" hidden="1" thickTop="1" x14ac:dyDescent="0.25">
      <c r="A149" s="539"/>
      <c r="B149" s="539"/>
      <c r="C149" s="539"/>
      <c r="D149" s="539"/>
      <c r="E149" s="561"/>
      <c r="F149" s="561"/>
      <c r="G149" s="561"/>
      <c r="H149" s="561"/>
      <c r="I149" s="561"/>
      <c r="J149" s="676">
        <v>9</v>
      </c>
      <c r="K149" s="677">
        <f>IF($E$138=9, 225000,0)</f>
        <v>0</v>
      </c>
      <c r="L149" s="747"/>
      <c r="M149" s="747"/>
    </row>
    <row r="150" spans="1:13" ht="14.4" hidden="1" thickTop="1" x14ac:dyDescent="0.25">
      <c r="A150" s="539"/>
      <c r="B150" s="539"/>
      <c r="C150" s="539"/>
      <c r="D150" s="539"/>
      <c r="E150" s="561"/>
      <c r="F150" s="561"/>
      <c r="G150" s="561"/>
      <c r="H150" s="561"/>
      <c r="I150" s="561"/>
      <c r="J150" s="676">
        <v>10</v>
      </c>
      <c r="K150" s="677">
        <f>IF($E$138=10, 250000,0)</f>
        <v>0</v>
      </c>
      <c r="L150" s="747"/>
      <c r="M150" s="747"/>
    </row>
    <row r="151" spans="1:13" ht="14.4" hidden="1" thickTop="1" x14ac:dyDescent="0.25">
      <c r="A151" s="539"/>
      <c r="B151" s="539"/>
      <c r="C151" s="539"/>
      <c r="D151" s="539"/>
      <c r="E151" s="561"/>
      <c r="F151" s="561"/>
      <c r="G151" s="561"/>
      <c r="H151" s="561"/>
      <c r="I151" s="561"/>
      <c r="J151" s="676">
        <v>11</v>
      </c>
      <c r="K151" s="677">
        <f>IF($E$138=11, 275000,0)</f>
        <v>0</v>
      </c>
      <c r="L151" s="747"/>
      <c r="M151" s="747"/>
    </row>
    <row r="152" spans="1:13" ht="14.4" hidden="1" thickTop="1" x14ac:dyDescent="0.25">
      <c r="A152" s="539"/>
      <c r="B152" s="539"/>
      <c r="C152" s="539"/>
      <c r="D152" s="539"/>
      <c r="E152" s="561"/>
      <c r="F152" s="561"/>
      <c r="G152" s="561"/>
      <c r="H152" s="561"/>
      <c r="I152" s="561"/>
      <c r="J152" s="676">
        <v>12</v>
      </c>
      <c r="K152" s="677">
        <f>IF($E$138=12, 300000,0)</f>
        <v>0</v>
      </c>
      <c r="L152" s="747"/>
      <c r="M152" s="747"/>
    </row>
    <row r="153" spans="1:13" ht="14.4" hidden="1" thickTop="1" x14ac:dyDescent="0.25">
      <c r="A153" s="539"/>
      <c r="B153" s="539"/>
      <c r="C153" s="539"/>
      <c r="D153" s="539"/>
      <c r="E153" s="561"/>
      <c r="F153" s="561"/>
      <c r="G153" s="561"/>
      <c r="H153" s="561"/>
      <c r="I153" s="561"/>
      <c r="J153" s="676">
        <v>13</v>
      </c>
      <c r="K153" s="677">
        <f>IF($E$138=13, 325000,0)</f>
        <v>0</v>
      </c>
      <c r="L153" s="747"/>
      <c r="M153" s="747"/>
    </row>
    <row r="154" spans="1:13" ht="14.4" hidden="1" thickTop="1" x14ac:dyDescent="0.25">
      <c r="A154" s="539"/>
      <c r="B154" s="539"/>
      <c r="C154" s="539"/>
      <c r="D154" s="539"/>
      <c r="E154" s="561"/>
      <c r="F154" s="561"/>
      <c r="G154" s="561"/>
      <c r="H154" s="561"/>
      <c r="I154" s="561"/>
      <c r="J154" s="676">
        <v>14</v>
      </c>
      <c r="K154" s="677">
        <f>IF($E$138=14, 350000,0)</f>
        <v>0</v>
      </c>
      <c r="L154" s="747"/>
      <c r="M154" s="747"/>
    </row>
    <row r="155" spans="1:13" ht="14.4" hidden="1" thickTop="1" x14ac:dyDescent="0.25">
      <c r="A155" s="539"/>
      <c r="B155" s="539"/>
      <c r="C155" s="539"/>
      <c r="D155" s="539"/>
      <c r="E155" s="561"/>
      <c r="F155" s="561"/>
      <c r="G155" s="561"/>
      <c r="H155" s="561"/>
      <c r="I155" s="561"/>
      <c r="J155" s="676">
        <v>15</v>
      </c>
      <c r="K155" s="677">
        <f>IF($E$138=15, 375000,0)</f>
        <v>0</v>
      </c>
      <c r="L155" s="747"/>
      <c r="M155" s="747"/>
    </row>
    <row r="156" spans="1:13" ht="14.4" hidden="1" thickTop="1" x14ac:dyDescent="0.25">
      <c r="A156" s="539"/>
      <c r="B156" s="539"/>
      <c r="C156" s="539"/>
      <c r="D156" s="539"/>
      <c r="E156" s="561"/>
      <c r="F156" s="561"/>
      <c r="G156" s="561"/>
      <c r="H156" s="561"/>
      <c r="I156" s="561"/>
      <c r="J156" s="676">
        <v>16</v>
      </c>
      <c r="K156" s="677">
        <f>IF($E$138=16, 400000,0)</f>
        <v>0</v>
      </c>
      <c r="L156" s="747"/>
      <c r="M156" s="747"/>
    </row>
    <row r="157" spans="1:13" ht="14.4" hidden="1" thickTop="1" x14ac:dyDescent="0.25">
      <c r="A157" s="539"/>
      <c r="B157" s="539"/>
      <c r="C157" s="539"/>
      <c r="D157" s="539"/>
      <c r="E157" s="561"/>
      <c r="F157" s="561"/>
      <c r="G157" s="561"/>
      <c r="H157" s="561"/>
      <c r="I157" s="561"/>
      <c r="J157" s="561">
        <v>17</v>
      </c>
      <c r="K157" s="677">
        <f>IF($E$138=17, 425000,0)</f>
        <v>0</v>
      </c>
      <c r="L157" s="747"/>
      <c r="M157" s="747"/>
    </row>
    <row r="158" spans="1:13" ht="14.4" hidden="1" thickTop="1" x14ac:dyDescent="0.25">
      <c r="A158" s="539"/>
      <c r="B158" s="539"/>
      <c r="C158" s="539"/>
      <c r="D158" s="539"/>
      <c r="E158" s="561"/>
      <c r="F158" s="561"/>
      <c r="G158" s="561"/>
      <c r="H158" s="561"/>
      <c r="I158" s="561"/>
      <c r="J158" s="561">
        <v>18</v>
      </c>
      <c r="K158" s="677">
        <f>IF($E$138=18, 450000,0)</f>
        <v>0</v>
      </c>
      <c r="L158" s="747"/>
      <c r="M158" s="747"/>
    </row>
    <row r="159" spans="1:13" ht="14.4" hidden="1" thickTop="1" x14ac:dyDescent="0.25">
      <c r="A159" s="539"/>
      <c r="B159" s="539"/>
      <c r="C159" s="539"/>
      <c r="D159" s="539"/>
      <c r="E159" s="561"/>
      <c r="F159" s="561"/>
      <c r="G159" s="561"/>
      <c r="H159" s="561"/>
      <c r="I159" s="561"/>
      <c r="J159" s="561">
        <v>19</v>
      </c>
      <c r="K159" s="677">
        <f>IF($E$138=19, 475000,0)</f>
        <v>0</v>
      </c>
      <c r="L159" s="747"/>
      <c r="M159" s="747"/>
    </row>
    <row r="160" spans="1:13" ht="14.4" hidden="1" thickTop="1" x14ac:dyDescent="0.25">
      <c r="A160" s="539"/>
      <c r="B160" s="539"/>
      <c r="C160" s="539"/>
      <c r="D160" s="539"/>
      <c r="E160" s="561"/>
      <c r="F160" s="561"/>
      <c r="G160" s="561"/>
      <c r="H160" s="561"/>
      <c r="I160" s="561"/>
      <c r="J160" s="561">
        <v>20</v>
      </c>
      <c r="K160" s="677">
        <f>IF($E$138=20, 500000,0)</f>
        <v>0</v>
      </c>
      <c r="L160" s="747"/>
      <c r="M160" s="747"/>
    </row>
    <row r="161" spans="1:31" ht="14.4" hidden="1" thickTop="1" x14ac:dyDescent="0.25">
      <c r="A161" s="539"/>
      <c r="B161" s="539"/>
      <c r="C161" s="539"/>
      <c r="D161" s="539"/>
      <c r="E161" s="561"/>
      <c r="F161" s="561"/>
      <c r="G161" s="561"/>
      <c r="H161" s="561"/>
      <c r="I161" s="561"/>
      <c r="J161" s="561">
        <v>21</v>
      </c>
      <c r="K161" s="677">
        <f>IF($E$138=21, 525000,0)</f>
        <v>0</v>
      </c>
      <c r="L161" s="747"/>
      <c r="M161" s="747"/>
    </row>
    <row r="162" spans="1:31" ht="14.4" hidden="1" thickTop="1" x14ac:dyDescent="0.25">
      <c r="A162" s="539"/>
      <c r="B162" s="539"/>
      <c r="C162" s="539"/>
      <c r="D162" s="539"/>
      <c r="E162" s="561"/>
      <c r="F162" s="561"/>
      <c r="G162" s="561"/>
      <c r="H162" s="561"/>
      <c r="I162" s="561"/>
      <c r="J162" s="561">
        <v>22</v>
      </c>
      <c r="K162" s="677">
        <f>IF($E$138=22, 555000,0)</f>
        <v>0</v>
      </c>
      <c r="L162" s="747"/>
      <c r="M162" s="747"/>
    </row>
    <row r="163" spans="1:31" ht="14.4" hidden="1" thickTop="1" x14ac:dyDescent="0.25">
      <c r="A163" s="539"/>
      <c r="B163" s="539"/>
      <c r="C163" s="539"/>
      <c r="D163" s="539"/>
      <c r="E163" s="561"/>
      <c r="F163" s="561"/>
      <c r="G163" s="561"/>
      <c r="H163" s="561"/>
      <c r="I163" s="561"/>
      <c r="J163" s="561">
        <v>23</v>
      </c>
      <c r="K163" s="677">
        <f>IF($E$138=23, 575000,0)</f>
        <v>0</v>
      </c>
      <c r="L163" s="747"/>
      <c r="M163" s="747"/>
    </row>
    <row r="164" spans="1:31" ht="14.4" hidden="1" thickTop="1" x14ac:dyDescent="0.25">
      <c r="A164" s="539"/>
      <c r="B164" s="539"/>
      <c r="C164" s="539"/>
      <c r="D164" s="539"/>
      <c r="E164" s="561"/>
      <c r="F164" s="561"/>
      <c r="G164" s="561"/>
      <c r="H164" s="561"/>
      <c r="I164" s="561"/>
      <c r="J164" s="561">
        <v>24</v>
      </c>
      <c r="K164" s="677">
        <f>IF($E$138=24, 600000,0)</f>
        <v>0</v>
      </c>
      <c r="L164" s="747"/>
      <c r="M164" s="747"/>
    </row>
    <row r="165" spans="1:31" ht="14.4" hidden="1" thickTop="1" x14ac:dyDescent="0.25">
      <c r="A165" s="539"/>
      <c r="B165" s="539"/>
      <c r="C165" s="539"/>
      <c r="D165" s="539"/>
      <c r="E165" s="561"/>
      <c r="F165" s="561"/>
      <c r="G165" s="561"/>
      <c r="H165" s="561"/>
      <c r="I165" s="561"/>
      <c r="J165" s="561">
        <v>25</v>
      </c>
      <c r="K165" s="677">
        <f>IF($E$138=25, 625000,0)</f>
        <v>0</v>
      </c>
      <c r="L165" s="747"/>
      <c r="M165" s="747"/>
    </row>
    <row r="166" spans="1:31" ht="14.4" hidden="1" thickTop="1" x14ac:dyDescent="0.25">
      <c r="A166" s="539"/>
      <c r="B166" s="539"/>
      <c r="C166" s="539"/>
      <c r="D166" s="539"/>
      <c r="E166" s="561"/>
      <c r="F166" s="561"/>
      <c r="G166" s="561"/>
      <c r="H166" s="561"/>
      <c r="I166" s="561"/>
      <c r="J166" s="561"/>
      <c r="K166" s="677"/>
      <c r="L166" s="747"/>
      <c r="M166" s="747"/>
    </row>
    <row r="167" spans="1:31" ht="15" thickTop="1" thickBot="1" x14ac:dyDescent="0.3">
      <c r="A167" s="453"/>
      <c r="B167" s="453"/>
      <c r="C167" s="328"/>
      <c r="D167" s="328"/>
      <c r="E167" s="328"/>
      <c r="F167" s="328"/>
      <c r="G167" s="328"/>
      <c r="H167" s="328"/>
      <c r="I167" s="328"/>
      <c r="J167" s="328"/>
      <c r="K167" s="443"/>
      <c r="L167" s="522"/>
      <c r="M167" s="522"/>
    </row>
    <row r="168" spans="1:31" ht="15.6" thickTop="1" thickBot="1" x14ac:dyDescent="0.35">
      <c r="A168" s="319" t="s">
        <v>427</v>
      </c>
      <c r="B168" s="319"/>
      <c r="C168" s="321" t="s">
        <v>60</v>
      </c>
      <c r="D168" s="320"/>
      <c r="E168" s="320"/>
      <c r="F168" s="320"/>
      <c r="G168" s="320"/>
      <c r="H168" s="458"/>
      <c r="I168" s="320"/>
      <c r="J168" s="320"/>
      <c r="K168" s="311" t="s">
        <v>226</v>
      </c>
      <c r="L168" s="582"/>
      <c r="M168" s="582"/>
    </row>
    <row r="169" spans="1:31" ht="14.4" thickTop="1" x14ac:dyDescent="0.25">
      <c r="A169" s="319" t="s">
        <v>329</v>
      </c>
      <c r="B169" s="319"/>
      <c r="C169" s="320"/>
      <c r="D169" s="320"/>
      <c r="E169" s="320"/>
      <c r="F169" s="320"/>
      <c r="G169" s="320"/>
      <c r="H169" s="320"/>
      <c r="I169" s="438"/>
      <c r="J169" s="320"/>
      <c r="K169" s="438"/>
      <c r="L169" s="522"/>
      <c r="M169" s="522"/>
    </row>
    <row r="170" spans="1:31" x14ac:dyDescent="0.25">
      <c r="A170" s="319" t="s">
        <v>339</v>
      </c>
      <c r="B170" s="319"/>
      <c r="C170" s="320"/>
      <c r="D170" s="320"/>
      <c r="E170" s="320"/>
      <c r="F170" s="320"/>
      <c r="G170" s="320"/>
      <c r="H170" s="320"/>
      <c r="I170" s="438"/>
      <c r="J170" s="320"/>
      <c r="K170" s="438"/>
      <c r="L170" s="522"/>
      <c r="M170" s="522"/>
    </row>
    <row r="171" spans="1:31" ht="23.25" customHeight="1" thickBot="1" x14ac:dyDescent="0.3">
      <c r="A171" s="319" t="s">
        <v>340</v>
      </c>
      <c r="B171" s="319"/>
      <c r="C171" s="320"/>
      <c r="D171" s="320"/>
      <c r="E171" s="320"/>
      <c r="F171" s="320"/>
      <c r="G171" s="320"/>
      <c r="H171" s="320"/>
      <c r="I171" s="438"/>
      <c r="J171" s="320"/>
      <c r="K171" s="320"/>
    </row>
    <row r="172" spans="1:31" ht="15" thickTop="1" thickBot="1" x14ac:dyDescent="0.3">
      <c r="A172" s="319" t="s">
        <v>363</v>
      </c>
      <c r="B172" s="320"/>
      <c r="C172" s="320"/>
      <c r="D172" s="320"/>
      <c r="E172" s="320"/>
      <c r="F172" s="320"/>
      <c r="G172" s="320"/>
      <c r="H172" s="320"/>
      <c r="I172" s="459"/>
      <c r="J172" s="320"/>
      <c r="K172" s="460"/>
      <c r="L172" s="748"/>
      <c r="M172" s="748"/>
    </row>
    <row r="173" spans="1:31" ht="15.6" thickTop="1" thickBot="1" x14ac:dyDescent="0.35">
      <c r="A173" s="458" t="s">
        <v>364</v>
      </c>
      <c r="B173" s="319"/>
      <c r="C173" s="320"/>
      <c r="D173" s="320"/>
      <c r="E173" s="319"/>
      <c r="F173" s="319"/>
      <c r="G173" s="319"/>
      <c r="H173" s="320"/>
      <c r="I173" s="459"/>
      <c r="J173" s="320"/>
      <c r="K173" s="460"/>
      <c r="L173" s="748"/>
      <c r="M173" s="748"/>
    </row>
    <row r="174" spans="1:31" ht="15.6" thickTop="1" thickBot="1" x14ac:dyDescent="0.35">
      <c r="A174" s="630"/>
      <c r="B174" s="450"/>
      <c r="C174" s="325"/>
      <c r="D174" s="325"/>
      <c r="E174" s="450"/>
      <c r="F174" s="450"/>
      <c r="G174" s="450"/>
      <c r="H174" s="325"/>
      <c r="I174" s="244"/>
      <c r="J174" s="325"/>
      <c r="K174" s="325"/>
    </row>
    <row r="175" spans="1:31" ht="15.6" thickTop="1" thickBot="1" x14ac:dyDescent="0.35">
      <c r="A175" s="319" t="s">
        <v>428</v>
      </c>
      <c r="B175" s="319"/>
      <c r="C175" s="320"/>
      <c r="D175" s="320"/>
      <c r="E175" s="321" t="s">
        <v>60</v>
      </c>
      <c r="F175" s="458"/>
      <c r="G175" s="320"/>
      <c r="H175" s="320"/>
      <c r="I175" s="438"/>
      <c r="J175" s="320"/>
      <c r="K175" s="311" t="s">
        <v>119</v>
      </c>
      <c r="L175" s="582"/>
      <c r="M175" s="582"/>
      <c r="Z175" s="866"/>
      <c r="AA175" s="866"/>
      <c r="AD175" s="866"/>
      <c r="AE175" s="866"/>
    </row>
    <row r="176" spans="1:31" ht="14.4" thickTop="1" x14ac:dyDescent="0.25">
      <c r="A176" s="319" t="s">
        <v>327</v>
      </c>
      <c r="B176" s="319"/>
      <c r="C176" s="320"/>
      <c r="D176" s="320"/>
      <c r="E176" s="320"/>
      <c r="F176" s="320"/>
      <c r="G176" s="320"/>
      <c r="H176" s="320"/>
      <c r="I176" s="438"/>
      <c r="J176" s="438"/>
      <c r="K176" s="438"/>
      <c r="L176" s="749"/>
      <c r="M176" s="749"/>
      <c r="Z176" s="866"/>
      <c r="AA176" s="866"/>
      <c r="AD176" s="866"/>
      <c r="AE176" s="866"/>
    </row>
    <row r="177" spans="1:52" x14ac:dyDescent="0.25">
      <c r="A177" s="319" t="s">
        <v>357</v>
      </c>
      <c r="B177" s="319"/>
      <c r="C177" s="320"/>
      <c r="D177" s="320"/>
      <c r="E177" s="320"/>
      <c r="F177" s="320"/>
      <c r="G177" s="320"/>
      <c r="H177" s="320"/>
      <c r="I177" s="438"/>
      <c r="J177" s="438"/>
      <c r="K177" s="438"/>
      <c r="L177" s="749"/>
      <c r="M177" s="749"/>
      <c r="N177" s="326"/>
      <c r="Z177" s="866"/>
      <c r="AA177" s="866"/>
      <c r="AD177" s="866"/>
      <c r="AE177" s="866"/>
    </row>
    <row r="178" spans="1:52" x14ac:dyDescent="0.25">
      <c r="A178" s="319" t="s">
        <v>358</v>
      </c>
      <c r="B178" s="319"/>
      <c r="C178" s="320"/>
      <c r="D178" s="320"/>
      <c r="E178" s="320"/>
      <c r="F178" s="320"/>
      <c r="G178" s="320"/>
      <c r="H178" s="320"/>
      <c r="I178" s="438"/>
      <c r="J178" s="438"/>
      <c r="K178" s="438"/>
      <c r="M178" s="749"/>
      <c r="N178" s="326"/>
      <c r="Z178" s="866"/>
      <c r="AA178" s="866"/>
      <c r="AD178" s="866"/>
      <c r="AE178" s="866"/>
    </row>
    <row r="179" spans="1:52" x14ac:dyDescent="0.25">
      <c r="A179" s="319" t="s">
        <v>359</v>
      </c>
      <c r="B179" s="320"/>
      <c r="C179" s="320"/>
      <c r="D179" s="320"/>
      <c r="E179" s="320"/>
      <c r="F179" s="320"/>
      <c r="G179" s="459"/>
      <c r="H179" s="320"/>
      <c r="I179" s="320"/>
      <c r="J179" s="320"/>
      <c r="K179" s="320"/>
      <c r="Z179" s="866"/>
      <c r="AA179" s="866"/>
      <c r="AD179" s="866"/>
      <c r="AE179" s="866"/>
    </row>
    <row r="180" spans="1:52" x14ac:dyDescent="0.25">
      <c r="A180" s="319" t="s">
        <v>264</v>
      </c>
      <c r="B180" s="320"/>
      <c r="C180" s="320"/>
      <c r="D180" s="320"/>
      <c r="E180" s="1564" t="s">
        <v>230</v>
      </c>
      <c r="F180" s="1564"/>
      <c r="G180" s="1564"/>
      <c r="H180" s="1564"/>
      <c r="I180" s="1564"/>
      <c r="J180" s="1564"/>
      <c r="K180" s="1564"/>
      <c r="P180" s="641"/>
      <c r="Z180" s="866"/>
      <c r="AA180" s="866"/>
      <c r="AD180" s="866"/>
      <c r="AE180" s="866"/>
    </row>
    <row r="181" spans="1:52" x14ac:dyDescent="0.25">
      <c r="A181" s="319"/>
      <c r="B181" s="320"/>
      <c r="C181" s="320"/>
      <c r="D181" s="320"/>
      <c r="E181" s="750" t="s">
        <v>229</v>
      </c>
      <c r="F181" s="906"/>
      <c r="G181" s="905" t="s">
        <v>227</v>
      </c>
      <c r="H181" s="467" t="s">
        <v>228</v>
      </c>
      <c r="I181" s="467" t="s">
        <v>265</v>
      </c>
      <c r="J181" s="467" t="s">
        <v>280</v>
      </c>
      <c r="K181" s="678" t="s">
        <v>4</v>
      </c>
      <c r="L181" s="752" t="s">
        <v>279</v>
      </c>
      <c r="M181" s="748"/>
      <c r="P181" s="641"/>
      <c r="Z181" s="866"/>
      <c r="AA181" s="866"/>
      <c r="AD181" s="866"/>
      <c r="AE181" s="866"/>
    </row>
    <row r="182" spans="1:52" ht="31.5" customHeight="1" x14ac:dyDescent="0.3">
      <c r="A182" s="1491" t="str">
        <f>IF(K182&gt;24999,"Note: Subaward has reached the 25K limit. If budget continues in future years, do not answer this question.", " ")</f>
        <v xml:space="preserve"> </v>
      </c>
      <c r="B182" s="1491"/>
      <c r="C182" s="1491"/>
      <c r="D182" s="908"/>
      <c r="E182" s="753" t="s">
        <v>232</v>
      </c>
      <c r="F182" s="907"/>
      <c r="G182" s="681"/>
      <c r="H182" s="681"/>
      <c r="I182" s="682"/>
      <c r="J182" s="682"/>
      <c r="K182" s="683">
        <f>SUM(G182:J182)</f>
        <v>0</v>
      </c>
      <c r="L182" s="755">
        <f>SUM(G182:I182)</f>
        <v>0</v>
      </c>
      <c r="M182" s="588">
        <f>IF(AND(L182&lt;25000,K182&gt;25000,J182&gt;L182),25000-L182,IF(AND(L182&lt;25000,J182&lt;25000),J182, 0))</f>
        <v>0</v>
      </c>
      <c r="P182" s="641"/>
      <c r="Z182" s="866"/>
      <c r="AA182" s="866"/>
      <c r="AD182" s="866"/>
      <c r="AE182" s="866"/>
    </row>
    <row r="183" spans="1:52" ht="31.5" customHeight="1" x14ac:dyDescent="0.25">
      <c r="A183" s="1491" t="str">
        <f>IF(K183&gt;24999,"Note: Subaward has reached the 25K limit. If budget continues in future years, do not answer this question.", " ")</f>
        <v xml:space="preserve"> </v>
      </c>
      <c r="B183" s="1491"/>
      <c r="C183" s="1491"/>
      <c r="D183" s="908"/>
      <c r="E183" s="753" t="s">
        <v>233</v>
      </c>
      <c r="F183" s="909"/>
      <c r="G183" s="681"/>
      <c r="H183" s="681"/>
      <c r="I183" s="682"/>
      <c r="J183" s="682"/>
      <c r="K183" s="683">
        <f>SUM(G183:J183)</f>
        <v>0</v>
      </c>
      <c r="L183" s="755">
        <f>SUM(G183:I183)</f>
        <v>0</v>
      </c>
      <c r="M183" s="588">
        <f>IF(AND(L183&lt;25000,K183&gt;25000,J183&gt;L183),25000-L183,IF(AND(L183&lt;25000,J183&lt;25000),J183, 0))</f>
        <v>0</v>
      </c>
      <c r="P183" s="641"/>
      <c r="Z183" s="866"/>
      <c r="AA183" s="866"/>
      <c r="AD183" s="866"/>
      <c r="AE183" s="866"/>
    </row>
    <row r="184" spans="1:52" ht="15" thickBot="1" x14ac:dyDescent="0.35">
      <c r="A184" s="630"/>
      <c r="B184" s="450"/>
      <c r="C184" s="325"/>
      <c r="D184" s="325"/>
      <c r="E184" s="450"/>
      <c r="F184" s="450"/>
      <c r="G184" s="450"/>
      <c r="H184" s="325"/>
      <c r="I184" s="244"/>
      <c r="J184" s="325"/>
      <c r="K184" s="325"/>
      <c r="O184" s="641"/>
    </row>
    <row r="185" spans="1:52" ht="14.4" hidden="1" thickBot="1" x14ac:dyDescent="0.3">
      <c r="A185" s="539"/>
      <c r="B185" s="539"/>
      <c r="C185" s="539"/>
      <c r="D185" s="539"/>
      <c r="E185" s="539"/>
      <c r="F185" s="539"/>
      <c r="G185" s="539"/>
      <c r="H185" s="539"/>
      <c r="I185" s="539"/>
      <c r="J185" s="539"/>
      <c r="K185" s="684"/>
      <c r="L185" s="757"/>
      <c r="M185" s="757"/>
    </row>
    <row r="186" spans="1:52" ht="14.4" hidden="1" thickBot="1" x14ac:dyDescent="0.3">
      <c r="A186" s="539"/>
      <c r="B186" s="539"/>
      <c r="C186" s="539"/>
      <c r="D186" s="539"/>
      <c r="E186" s="561"/>
      <c r="F186" s="561"/>
      <c r="G186" s="561"/>
      <c r="H186" s="561"/>
      <c r="I186" s="561"/>
      <c r="J186" s="685" t="s">
        <v>71</v>
      </c>
      <c r="K186" s="684">
        <f>SUM(K140:K165)+SUM(K172:K173)+SUM(M182:M183)</f>
        <v>0</v>
      </c>
      <c r="L186" s="757"/>
      <c r="M186" s="757"/>
    </row>
    <row r="187" spans="1:52" s="13" customFormat="1" ht="14.4" hidden="1" thickBot="1" x14ac:dyDescent="0.3">
      <c r="A187" s="453"/>
      <c r="B187" s="453"/>
      <c r="C187" s="328"/>
      <c r="D187" s="328"/>
      <c r="E187" s="328"/>
      <c r="F187" s="328"/>
      <c r="G187" s="328"/>
      <c r="H187" s="328"/>
      <c r="I187" s="328"/>
      <c r="J187" s="328"/>
      <c r="K187" s="443"/>
      <c r="L187" s="522"/>
      <c r="M187" s="522"/>
      <c r="N187" s="326"/>
      <c r="O187" s="326"/>
      <c r="P187" s="326"/>
      <c r="Q187" s="326"/>
      <c r="R187" s="326"/>
      <c r="S187" s="326"/>
      <c r="T187" s="326"/>
      <c r="U187" s="326"/>
      <c r="V187" s="326"/>
      <c r="W187" s="326"/>
      <c r="X187" s="326"/>
      <c r="Y187" s="326"/>
      <c r="Z187" s="510"/>
      <c r="AA187" s="510"/>
      <c r="AB187" s="326"/>
      <c r="AC187" s="326"/>
      <c r="AD187" s="510"/>
      <c r="AE187" s="510"/>
      <c r="AF187" s="326"/>
      <c r="AG187" s="326"/>
      <c r="AH187" s="326"/>
      <c r="AI187" s="326"/>
      <c r="AJ187" s="326"/>
      <c r="AK187" s="326"/>
      <c r="AL187" s="326"/>
      <c r="AM187" s="326"/>
      <c r="AN187" s="326"/>
      <c r="AO187" s="326"/>
      <c r="AP187" s="326"/>
      <c r="AQ187" s="326"/>
      <c r="AR187" s="326"/>
      <c r="AS187" s="326"/>
      <c r="AT187" s="326"/>
      <c r="AU187" s="326"/>
      <c r="AV187" s="326"/>
      <c r="AW187" s="326"/>
      <c r="AX187" s="326"/>
      <c r="AY187" s="326"/>
      <c r="AZ187" s="326"/>
    </row>
    <row r="188" spans="1:52" ht="15" thickTop="1" thickBot="1" x14ac:dyDescent="0.3">
      <c r="A188" s="319" t="s">
        <v>377</v>
      </c>
      <c r="B188" s="319"/>
      <c r="C188" s="320"/>
      <c r="D188" s="320"/>
      <c r="E188" s="320"/>
      <c r="F188" s="320"/>
      <c r="G188" s="320"/>
      <c r="H188" s="321" t="s">
        <v>60</v>
      </c>
      <c r="I188" s="320"/>
      <c r="J188" s="320"/>
      <c r="K188" s="311" t="s">
        <v>273</v>
      </c>
      <c r="P188" s="642"/>
    </row>
    <row r="189" spans="1:52" ht="27.75" customHeight="1" thickTop="1" x14ac:dyDescent="0.25">
      <c r="A189" s="319" t="s">
        <v>336</v>
      </c>
      <c r="B189" s="319"/>
      <c r="C189" s="320"/>
      <c r="D189" s="320"/>
      <c r="E189" s="320"/>
      <c r="F189" s="320"/>
      <c r="G189" s="320"/>
      <c r="H189" s="320"/>
      <c r="I189" s="320"/>
      <c r="J189" s="320"/>
      <c r="K189" s="438"/>
      <c r="L189" s="522"/>
      <c r="M189" s="522"/>
      <c r="P189" s="642"/>
    </row>
    <row r="190" spans="1:52" x14ac:dyDescent="0.25">
      <c r="A190" s="461" t="s">
        <v>360</v>
      </c>
      <c r="B190" s="319"/>
      <c r="C190" s="320"/>
      <c r="D190" s="320"/>
      <c r="E190" s="320"/>
      <c r="F190" s="320"/>
      <c r="G190" s="320"/>
      <c r="H190" s="320"/>
      <c r="I190" s="320"/>
      <c r="J190" s="320"/>
      <c r="K190" s="320"/>
    </row>
    <row r="191" spans="1:52" ht="18" customHeight="1" x14ac:dyDescent="0.25">
      <c r="A191" s="462" t="s">
        <v>361</v>
      </c>
      <c r="B191" s="319"/>
      <c r="C191" s="320"/>
      <c r="D191" s="320"/>
      <c r="E191" s="320"/>
      <c r="F191" s="320"/>
      <c r="G191" s="320"/>
      <c r="H191" s="320"/>
      <c r="I191" s="320"/>
      <c r="J191" s="320"/>
      <c r="K191" s="320"/>
    </row>
    <row r="192" spans="1:52" ht="18" customHeight="1" x14ac:dyDescent="0.25">
      <c r="A192" s="463" t="s">
        <v>135</v>
      </c>
      <c r="B192" s="319"/>
      <c r="C192" s="320"/>
      <c r="D192" s="320"/>
      <c r="E192" s="320"/>
      <c r="F192" s="320"/>
      <c r="G192" s="320"/>
      <c r="H192" s="320"/>
      <c r="I192" s="320"/>
      <c r="J192" s="320"/>
      <c r="K192" s="320"/>
    </row>
    <row r="193" spans="1:13" ht="17.25" customHeight="1" thickBot="1" x14ac:dyDescent="0.3">
      <c r="A193" s="453"/>
      <c r="B193" s="453"/>
      <c r="C193" s="328"/>
      <c r="D193" s="328"/>
      <c r="E193" s="328"/>
      <c r="F193" s="328"/>
      <c r="G193" s="328"/>
      <c r="H193" s="328"/>
      <c r="I193" s="328"/>
      <c r="J193" s="328"/>
      <c r="K193" s="443"/>
      <c r="L193" s="522"/>
      <c r="M193" s="522"/>
    </row>
    <row r="194" spans="1:13" ht="15" thickTop="1" thickBot="1" x14ac:dyDescent="0.3">
      <c r="A194" s="319" t="s">
        <v>378</v>
      </c>
      <c r="B194" s="319"/>
      <c r="C194" s="320"/>
      <c r="D194" s="320"/>
      <c r="E194" s="459"/>
      <c r="F194" s="459"/>
      <c r="G194" s="321" t="s">
        <v>60</v>
      </c>
      <c r="H194" s="459"/>
      <c r="I194" s="320"/>
      <c r="J194" s="320"/>
      <c r="K194" s="311" t="s">
        <v>274</v>
      </c>
      <c r="L194" s="582"/>
      <c r="M194" s="582"/>
    </row>
    <row r="195" spans="1:13" ht="14.4" thickTop="1" x14ac:dyDescent="0.25">
      <c r="A195" s="464" t="s">
        <v>206</v>
      </c>
      <c r="B195" s="464"/>
      <c r="C195" s="459"/>
      <c r="D195" s="459"/>
      <c r="E195" s="459"/>
      <c r="F195" s="459"/>
      <c r="G195" s="459"/>
      <c r="H195" s="459"/>
      <c r="I195" s="459"/>
      <c r="J195" s="459"/>
      <c r="K195" s="311"/>
      <c r="L195" s="582"/>
      <c r="M195" s="582"/>
    </row>
    <row r="196" spans="1:13" ht="14.4" thickBot="1" x14ac:dyDescent="0.3">
      <c r="A196" s="465"/>
      <c r="B196" s="465"/>
      <c r="C196" s="465"/>
      <c r="D196" s="465"/>
      <c r="E196" s="465"/>
      <c r="F196" s="465"/>
      <c r="G196" s="465"/>
      <c r="H196" s="325"/>
      <c r="I196" s="325"/>
      <c r="J196" s="466"/>
      <c r="K196" s="466"/>
      <c r="L196" s="758"/>
      <c r="M196" s="758"/>
    </row>
    <row r="197" spans="1:13" ht="15" thickTop="1" thickBot="1" x14ac:dyDescent="0.3">
      <c r="A197" s="319" t="s">
        <v>379</v>
      </c>
      <c r="B197" s="320"/>
      <c r="C197" s="320"/>
      <c r="D197" s="320"/>
      <c r="E197" s="320"/>
      <c r="F197" s="320"/>
      <c r="G197" s="320"/>
      <c r="H197" s="320"/>
      <c r="I197" s="321" t="s">
        <v>60</v>
      </c>
      <c r="J197" s="320"/>
      <c r="K197" s="311" t="s">
        <v>275</v>
      </c>
    </row>
    <row r="198" spans="1:13" ht="15" thickTop="1" thickBot="1" x14ac:dyDescent="0.3">
      <c r="A198" s="319" t="s">
        <v>211</v>
      </c>
      <c r="B198" s="319"/>
      <c r="C198" s="320"/>
      <c r="D198" s="320"/>
      <c r="E198" s="320"/>
      <c r="F198" s="320"/>
      <c r="G198" s="320"/>
      <c r="H198" s="309"/>
      <c r="I198" s="320"/>
      <c r="J198" s="321" t="s">
        <v>59</v>
      </c>
      <c r="K198" s="320"/>
      <c r="L198" s="275"/>
      <c r="M198" s="275"/>
    </row>
    <row r="199" spans="1:13" ht="15" thickTop="1" thickBot="1" x14ac:dyDescent="0.3">
      <c r="A199" s="322" t="s">
        <v>446</v>
      </c>
      <c r="B199" s="323"/>
      <c r="C199" s="323"/>
      <c r="D199" s="323"/>
      <c r="E199" s="323"/>
      <c r="F199" s="323"/>
      <c r="G199" s="323"/>
      <c r="H199" s="323"/>
      <c r="I199" s="322"/>
      <c r="J199" s="320"/>
      <c r="K199" s="320"/>
    </row>
    <row r="200" spans="1:13" ht="14.4" hidden="1" thickBot="1" x14ac:dyDescent="0.3">
      <c r="A200" s="666"/>
      <c r="B200" s="666"/>
      <c r="C200" s="666"/>
      <c r="D200" s="666"/>
      <c r="E200" s="666"/>
      <c r="F200" s="666"/>
      <c r="G200" s="666"/>
      <c r="H200" s="666"/>
      <c r="I200" s="666"/>
      <c r="J200" s="668" t="s">
        <v>198</v>
      </c>
      <c r="K200" s="320"/>
    </row>
    <row r="201" spans="1:13" ht="14.4" hidden="1" thickBot="1" x14ac:dyDescent="0.3">
      <c r="A201" s="666"/>
      <c r="B201" s="666"/>
      <c r="C201" s="666"/>
      <c r="D201" s="666"/>
      <c r="E201" s="666"/>
      <c r="F201" s="666"/>
      <c r="G201" s="666"/>
      <c r="H201" s="666"/>
      <c r="I201" s="666"/>
      <c r="J201" s="669">
        <v>0.69499999999999995</v>
      </c>
      <c r="K201" s="320"/>
    </row>
    <row r="202" spans="1:13" ht="14.4" hidden="1" thickBot="1" x14ac:dyDescent="0.3">
      <c r="A202" s="666"/>
      <c r="B202" s="666"/>
      <c r="C202" s="666"/>
      <c r="D202" s="666"/>
      <c r="E202" s="666"/>
      <c r="F202" s="666"/>
      <c r="G202" s="666"/>
      <c r="H202" s="666"/>
      <c r="I202" s="666"/>
      <c r="J202" s="669">
        <v>0.34</v>
      </c>
      <c r="K202" s="320"/>
    </row>
    <row r="203" spans="1:13" ht="14.4" hidden="1" thickBot="1" x14ac:dyDescent="0.3">
      <c r="A203" s="666"/>
      <c r="B203" s="666"/>
      <c r="C203" s="666"/>
      <c r="D203" s="666"/>
      <c r="E203" s="666"/>
      <c r="F203" s="666"/>
      <c r="G203" s="666"/>
      <c r="H203" s="666"/>
      <c r="I203" s="666"/>
      <c r="J203" s="669">
        <v>0.41</v>
      </c>
      <c r="K203" s="320"/>
    </row>
    <row r="204" spans="1:13" ht="15" thickTop="1" thickBot="1" x14ac:dyDescent="0.3">
      <c r="A204" s="323"/>
      <c r="B204" s="323"/>
      <c r="C204" s="323"/>
      <c r="D204" s="323"/>
      <c r="E204" s="323"/>
      <c r="F204" s="323"/>
      <c r="G204" s="323"/>
      <c r="H204" s="323"/>
      <c r="I204" s="467" t="s">
        <v>203</v>
      </c>
      <c r="J204" s="468"/>
      <c r="K204" s="320"/>
    </row>
    <row r="205" spans="1:13" ht="15" hidden="1" thickTop="1" thickBot="1" x14ac:dyDescent="0.3">
      <c r="A205" s="666"/>
      <c r="B205" s="666"/>
      <c r="C205" s="666"/>
      <c r="D205" s="666"/>
      <c r="E205" s="666"/>
      <c r="F205" s="666"/>
      <c r="G205" s="666"/>
      <c r="H205" s="666"/>
      <c r="I205" s="666"/>
      <c r="J205" s="668" t="s">
        <v>205</v>
      </c>
      <c r="K205" s="666"/>
    </row>
    <row r="206" spans="1:13" ht="15" hidden="1" thickTop="1" thickBot="1" x14ac:dyDescent="0.3">
      <c r="A206" s="666"/>
      <c r="B206" s="666"/>
      <c r="C206" s="666"/>
      <c r="D206" s="666"/>
      <c r="E206" s="666"/>
      <c r="F206" s="666"/>
      <c r="G206" s="666"/>
      <c r="H206" s="666"/>
      <c r="I206" s="666"/>
      <c r="J206" s="669">
        <v>0.26</v>
      </c>
      <c r="K206" s="666"/>
    </row>
    <row r="207" spans="1:13" ht="15" hidden="1" thickTop="1" thickBot="1" x14ac:dyDescent="0.3">
      <c r="A207" s="666"/>
      <c r="B207" s="666"/>
      <c r="C207" s="666"/>
      <c r="D207" s="666"/>
      <c r="E207" s="666"/>
      <c r="F207" s="666"/>
      <c r="G207" s="666"/>
      <c r="H207" s="666"/>
      <c r="I207" s="666"/>
      <c r="J207" s="669">
        <v>0.34</v>
      </c>
      <c r="K207" s="666"/>
    </row>
    <row r="208" spans="1:13" ht="15" hidden="1" thickTop="1" thickBot="1" x14ac:dyDescent="0.3">
      <c r="A208" s="666"/>
      <c r="B208" s="666"/>
      <c r="C208" s="666"/>
      <c r="D208" s="666"/>
      <c r="E208" s="666"/>
      <c r="F208" s="666"/>
      <c r="G208" s="666"/>
      <c r="H208" s="666"/>
      <c r="I208" s="666"/>
      <c r="J208" s="669">
        <v>0.41</v>
      </c>
      <c r="K208" s="666"/>
    </row>
    <row r="209" spans="1:13" ht="20.25" customHeight="1" thickTop="1" thickBot="1" x14ac:dyDescent="0.3">
      <c r="A209" s="323"/>
      <c r="B209" s="323"/>
      <c r="C209" s="323"/>
      <c r="D209" s="323"/>
      <c r="E209" s="323"/>
      <c r="F209" s="323"/>
      <c r="G209" s="323"/>
      <c r="H209" s="323"/>
      <c r="I209" s="467" t="s">
        <v>204</v>
      </c>
      <c r="J209" s="324"/>
      <c r="K209" s="320"/>
    </row>
    <row r="210" spans="1:13" ht="14.4" thickTop="1" x14ac:dyDescent="0.25">
      <c r="A210" s="319" t="s">
        <v>207</v>
      </c>
      <c r="B210" s="320"/>
      <c r="C210" s="320"/>
      <c r="D210" s="320"/>
      <c r="E210" s="320"/>
      <c r="F210" s="320"/>
      <c r="G210" s="320"/>
      <c r="H210" s="320"/>
      <c r="I210" s="320"/>
      <c r="J210" s="320"/>
      <c r="K210" s="320"/>
    </row>
    <row r="211" spans="1:13" x14ac:dyDescent="0.25">
      <c r="A211" s="319" t="s">
        <v>221</v>
      </c>
      <c r="B211" s="320"/>
      <c r="C211" s="320"/>
      <c r="D211" s="320"/>
      <c r="E211" s="320"/>
      <c r="F211" s="320"/>
      <c r="G211" s="320"/>
      <c r="H211" s="320"/>
      <c r="I211" s="320"/>
      <c r="J211" s="320"/>
      <c r="K211" s="320"/>
    </row>
    <row r="212" spans="1:13" x14ac:dyDescent="0.25">
      <c r="A212" s="319" t="s">
        <v>292</v>
      </c>
      <c r="B212" s="320"/>
      <c r="C212" s="320"/>
      <c r="D212" s="320"/>
      <c r="E212" s="320"/>
      <c r="F212" s="320"/>
      <c r="G212" s="320"/>
      <c r="H212" s="320"/>
      <c r="I212" s="320"/>
      <c r="J212" s="320"/>
      <c r="K212" s="320"/>
    </row>
    <row r="213" spans="1:13" x14ac:dyDescent="0.25">
      <c r="A213" s="319" t="s">
        <v>210</v>
      </c>
      <c r="B213" s="320"/>
      <c r="C213" s="320"/>
      <c r="D213" s="320"/>
      <c r="E213" s="320"/>
      <c r="F213" s="320"/>
      <c r="G213" s="320"/>
      <c r="H213" s="320"/>
      <c r="I213" s="320"/>
      <c r="J213" s="320"/>
      <c r="K213" s="320"/>
    </row>
    <row r="214" spans="1:13" ht="5.25" customHeight="1" x14ac:dyDescent="0.25">
      <c r="A214" s="319"/>
      <c r="B214" s="320"/>
      <c r="C214" s="320"/>
      <c r="D214" s="320"/>
      <c r="E214" s="320"/>
      <c r="F214" s="320"/>
      <c r="G214" s="320"/>
      <c r="H214" s="320"/>
      <c r="I214" s="320"/>
      <c r="J214" s="320"/>
      <c r="K214" s="320"/>
    </row>
    <row r="215" spans="1:13" x14ac:dyDescent="0.25">
      <c r="A215" s="319" t="s">
        <v>225</v>
      </c>
      <c r="B215" s="320"/>
      <c r="C215" s="320"/>
      <c r="D215" s="320"/>
      <c r="E215" s="320"/>
      <c r="F215" s="320"/>
      <c r="G215" s="320"/>
      <c r="H215" s="320"/>
      <c r="I215" s="320"/>
      <c r="J215" s="320"/>
      <c r="K215" s="320"/>
    </row>
    <row r="216" spans="1:13" x14ac:dyDescent="0.25">
      <c r="A216" s="319" t="s">
        <v>176</v>
      </c>
      <c r="B216" s="320"/>
      <c r="C216" s="320"/>
      <c r="D216" s="320"/>
      <c r="E216" s="320"/>
      <c r="F216" s="320"/>
      <c r="G216" s="320"/>
      <c r="H216" s="320"/>
      <c r="I216" s="320"/>
      <c r="J216" s="320"/>
      <c r="K216" s="320"/>
    </row>
    <row r="217" spans="1:13" x14ac:dyDescent="0.25">
      <c r="A217" s="319" t="s">
        <v>214</v>
      </c>
      <c r="B217" s="320"/>
      <c r="C217" s="320"/>
      <c r="D217" s="320"/>
      <c r="E217" s="320"/>
      <c r="F217" s="320"/>
      <c r="G217" s="320"/>
      <c r="H217" s="320"/>
      <c r="I217" s="320"/>
      <c r="J217" s="320"/>
      <c r="K217" s="320"/>
    </row>
    <row r="218" spans="1:13" x14ac:dyDescent="0.25">
      <c r="A218" s="319" t="s">
        <v>177</v>
      </c>
      <c r="B218" s="320"/>
      <c r="C218" s="320"/>
      <c r="D218" s="320"/>
      <c r="E218" s="320"/>
      <c r="F218" s="320"/>
      <c r="G218" s="320"/>
      <c r="H218" s="320"/>
      <c r="I218" s="320"/>
      <c r="J218" s="320"/>
      <c r="K218" s="320"/>
    </row>
    <row r="219" spans="1:13" x14ac:dyDescent="0.25">
      <c r="A219" s="319" t="s">
        <v>215</v>
      </c>
      <c r="B219" s="320"/>
      <c r="C219" s="320"/>
      <c r="D219" s="320"/>
      <c r="E219" s="320"/>
      <c r="F219" s="320"/>
      <c r="G219" s="320"/>
      <c r="H219" s="320"/>
      <c r="I219" s="320"/>
      <c r="J219" s="320"/>
      <c r="K219" s="320"/>
    </row>
    <row r="220" spans="1:13" x14ac:dyDescent="0.25">
      <c r="A220" s="319" t="s">
        <v>189</v>
      </c>
      <c r="B220" s="320"/>
      <c r="C220" s="320"/>
      <c r="D220" s="320"/>
      <c r="E220" s="320"/>
      <c r="F220" s="320"/>
      <c r="G220" s="320"/>
      <c r="H220" s="320"/>
      <c r="I220" s="320"/>
      <c r="J220" s="320"/>
      <c r="K220" s="320"/>
    </row>
    <row r="221" spans="1:13" x14ac:dyDescent="0.25">
      <c r="A221" s="319" t="s">
        <v>216</v>
      </c>
      <c r="B221" s="320"/>
      <c r="C221" s="320"/>
      <c r="D221" s="320"/>
      <c r="E221" s="320"/>
      <c r="F221" s="320"/>
      <c r="G221" s="320"/>
      <c r="H221" s="320"/>
      <c r="I221" s="320"/>
      <c r="J221" s="320"/>
      <c r="K221" s="320"/>
    </row>
    <row r="222" spans="1:13" x14ac:dyDescent="0.25">
      <c r="A222" s="319" t="s">
        <v>217</v>
      </c>
      <c r="B222" s="320"/>
      <c r="C222" s="320"/>
      <c r="D222" s="320"/>
      <c r="E222" s="320"/>
      <c r="F222" s="320"/>
      <c r="G222" s="320"/>
      <c r="H222" s="320"/>
      <c r="I222" s="320"/>
      <c r="J222" s="320"/>
      <c r="K222" s="320"/>
    </row>
    <row r="223" spans="1:13" ht="18" x14ac:dyDescent="0.25">
      <c r="A223" s="436"/>
      <c r="B223" s="436"/>
      <c r="C223" s="436"/>
      <c r="D223" s="436"/>
      <c r="E223" s="436"/>
      <c r="F223" s="436"/>
      <c r="G223" s="627"/>
      <c r="H223" s="627"/>
      <c r="I223" s="629"/>
      <c r="J223" s="629"/>
      <c r="K223" s="629"/>
      <c r="L223" s="742"/>
      <c r="M223" s="742"/>
    </row>
    <row r="224" spans="1:13" ht="18.600000000000001" thickBot="1" x14ac:dyDescent="0.3">
      <c r="A224" s="626" t="s">
        <v>431</v>
      </c>
      <c r="B224" s="453"/>
      <c r="C224" s="328"/>
      <c r="D224" s="328"/>
      <c r="E224" s="328"/>
      <c r="F224" s="328"/>
      <c r="G224" s="627"/>
      <c r="H224" s="627"/>
      <c r="I224" s="629"/>
      <c r="J224" s="629"/>
      <c r="K224" s="629"/>
      <c r="L224" s="742"/>
      <c r="M224" s="742"/>
    </row>
    <row r="225" spans="1:52" ht="15" thickTop="1" thickBot="1" x14ac:dyDescent="0.3">
      <c r="A225" s="319" t="s">
        <v>438</v>
      </c>
      <c r="B225" s="319"/>
      <c r="C225" s="320"/>
      <c r="D225" s="320"/>
      <c r="E225" s="320"/>
      <c r="F225" s="320"/>
      <c r="G225" s="320"/>
      <c r="H225" s="320"/>
      <c r="I225" s="321" t="s">
        <v>59</v>
      </c>
      <c r="J225" s="320"/>
      <c r="K225" s="311" t="s">
        <v>444</v>
      </c>
      <c r="L225" s="555"/>
      <c r="M225" s="555"/>
    </row>
    <row r="226" spans="1:52" ht="15" thickTop="1" thickBot="1" x14ac:dyDescent="0.3">
      <c r="A226" s="319" t="s">
        <v>142</v>
      </c>
      <c r="B226" s="319"/>
      <c r="C226" s="320"/>
      <c r="D226" s="320"/>
      <c r="E226" s="320"/>
      <c r="F226" s="320"/>
      <c r="G226" s="320"/>
      <c r="H226" s="320"/>
      <c r="I226" s="320"/>
      <c r="J226" s="449"/>
      <c r="K226" s="320"/>
    </row>
    <row r="227" spans="1:52" s="56" customFormat="1" ht="15" thickTop="1" thickBot="1" x14ac:dyDescent="0.3">
      <c r="A227" s="450"/>
      <c r="B227" s="450"/>
      <c r="C227" s="325"/>
      <c r="D227" s="325"/>
      <c r="E227" s="325"/>
      <c r="F227" s="325"/>
      <c r="G227" s="325"/>
      <c r="H227" s="325"/>
      <c r="I227" s="325"/>
      <c r="J227" s="325"/>
      <c r="K227" s="451"/>
      <c r="L227" s="743"/>
      <c r="M227" s="743"/>
      <c r="N227" s="325"/>
      <c r="O227" s="325"/>
      <c r="P227" s="325"/>
      <c r="Q227" s="325"/>
      <c r="R227" s="325"/>
      <c r="S227" s="325"/>
      <c r="T227" s="325"/>
      <c r="U227" s="325"/>
      <c r="V227" s="325"/>
      <c r="W227" s="325"/>
      <c r="X227" s="325"/>
      <c r="Y227" s="325"/>
      <c r="Z227" s="511"/>
      <c r="AA227" s="511"/>
      <c r="AB227" s="325"/>
      <c r="AC227" s="325"/>
      <c r="AD227" s="511"/>
      <c r="AE227" s="511"/>
      <c r="AF227" s="325"/>
      <c r="AG227" s="325"/>
      <c r="AH227" s="325"/>
      <c r="AI227" s="325"/>
      <c r="AJ227" s="325"/>
      <c r="AK227" s="325"/>
      <c r="AL227" s="325"/>
      <c r="AM227" s="325"/>
      <c r="AN227" s="325"/>
      <c r="AO227" s="325"/>
      <c r="AP227" s="325"/>
      <c r="AQ227" s="325"/>
      <c r="AR227" s="325"/>
      <c r="AS227" s="325"/>
      <c r="AT227" s="325"/>
      <c r="AU227" s="325"/>
      <c r="AV227" s="325"/>
      <c r="AW227" s="325"/>
      <c r="AX227" s="325"/>
      <c r="AY227" s="325"/>
      <c r="AZ227" s="325"/>
    </row>
    <row r="228" spans="1:52" ht="16.5" customHeight="1" thickTop="1" thickBot="1" x14ac:dyDescent="0.3">
      <c r="A228" s="438" t="s">
        <v>381</v>
      </c>
      <c r="B228" s="438"/>
      <c r="C228" s="438"/>
      <c r="D228" s="438"/>
      <c r="E228" s="321" t="s">
        <v>60</v>
      </c>
      <c r="F228" s="438"/>
      <c r="G228" s="438"/>
      <c r="H228" s="438"/>
      <c r="I228" s="438"/>
      <c r="J228" s="438"/>
      <c r="K228" s="311" t="s">
        <v>114</v>
      </c>
      <c r="L228" s="582"/>
      <c r="M228" s="582"/>
    </row>
    <row r="229" spans="1:52" ht="15" thickTop="1" thickBot="1" x14ac:dyDescent="0.3">
      <c r="A229" s="319" t="s">
        <v>122</v>
      </c>
      <c r="B229" s="319"/>
      <c r="C229" s="320"/>
      <c r="D229" s="320"/>
      <c r="E229" s="320"/>
      <c r="F229" s="320"/>
      <c r="G229" s="320"/>
      <c r="H229" s="320"/>
      <c r="I229" s="320"/>
      <c r="J229" s="320"/>
      <c r="K229" s="320"/>
    </row>
    <row r="230" spans="1:52" ht="15" thickTop="1" thickBot="1" x14ac:dyDescent="0.3">
      <c r="A230" s="319"/>
      <c r="B230" s="319"/>
      <c r="C230" s="320"/>
      <c r="D230" s="320"/>
      <c r="E230" s="320"/>
      <c r="F230" s="320"/>
      <c r="G230" s="320"/>
      <c r="H230" s="320"/>
      <c r="I230" s="320"/>
      <c r="J230" s="320"/>
      <c r="K230" s="452"/>
      <c r="L230" s="743"/>
      <c r="M230" s="743"/>
    </row>
    <row r="231" spans="1:52" ht="15" thickTop="1" thickBot="1" x14ac:dyDescent="0.3">
      <c r="A231" s="319"/>
      <c r="B231" s="319"/>
      <c r="C231" s="320"/>
      <c r="D231" s="320"/>
      <c r="E231" s="320"/>
      <c r="F231" s="320"/>
      <c r="G231" s="320"/>
      <c r="H231" s="320"/>
      <c r="I231" s="320"/>
      <c r="J231" s="320"/>
      <c r="K231" s="452"/>
      <c r="L231" s="743"/>
      <c r="M231" s="743"/>
    </row>
    <row r="232" spans="1:52" ht="15" thickTop="1" thickBot="1" x14ac:dyDescent="0.3">
      <c r="A232" s="319"/>
      <c r="B232" s="319"/>
      <c r="C232" s="320"/>
      <c r="D232" s="320"/>
      <c r="E232" s="320"/>
      <c r="F232" s="320"/>
      <c r="G232" s="320"/>
      <c r="H232" s="320"/>
      <c r="I232" s="320"/>
      <c r="J232" s="320"/>
      <c r="K232" s="452"/>
      <c r="L232" s="743"/>
      <c r="M232" s="743"/>
    </row>
    <row r="233" spans="1:52" ht="14.4" thickTop="1" x14ac:dyDescent="0.25">
      <c r="A233" s="450"/>
      <c r="B233" s="450"/>
      <c r="C233" s="325"/>
      <c r="D233" s="325"/>
      <c r="E233" s="325"/>
      <c r="F233" s="325"/>
      <c r="G233" s="325"/>
      <c r="H233" s="325"/>
      <c r="I233" s="325"/>
      <c r="J233" s="325"/>
      <c r="K233" s="451"/>
      <c r="L233" s="743"/>
      <c r="M233" s="743"/>
    </row>
    <row r="234" spans="1:52" ht="25.5" customHeight="1" thickBot="1" x14ac:dyDescent="0.3">
      <c r="A234" s="626" t="s">
        <v>380</v>
      </c>
      <c r="B234" s="453"/>
      <c r="C234" s="328"/>
      <c r="D234" s="328"/>
      <c r="E234" s="328"/>
      <c r="F234" s="328"/>
      <c r="G234" s="328"/>
      <c r="H234" s="328"/>
      <c r="I234" s="328"/>
      <c r="J234" s="328"/>
      <c r="K234" s="443"/>
      <c r="L234" s="522"/>
      <c r="M234" s="522"/>
      <c r="AK234" s="708" t="s">
        <v>183</v>
      </c>
      <c r="AM234" s="725" t="e">
        <f>AM108/AO108</f>
        <v>#DIV/0!</v>
      </c>
      <c r="AN234" s="725" t="e">
        <f>AN108/AO108</f>
        <v>#DIV/0!</v>
      </c>
      <c r="AO234" s="737" t="e">
        <f>AM234+AN234</f>
        <v>#DIV/0!</v>
      </c>
    </row>
    <row r="235" spans="1:52" ht="15" thickTop="1" thickBot="1" x14ac:dyDescent="0.3">
      <c r="A235" s="319" t="s">
        <v>384</v>
      </c>
      <c r="B235" s="319"/>
      <c r="C235" s="320"/>
      <c r="D235" s="320"/>
      <c r="E235" s="320"/>
      <c r="F235" s="320"/>
      <c r="G235" s="320"/>
      <c r="H235" s="309"/>
      <c r="I235" s="321" t="s">
        <v>59</v>
      </c>
      <c r="J235" s="320"/>
      <c r="K235" s="311" t="s">
        <v>52</v>
      </c>
    </row>
    <row r="236" spans="1:52" ht="15" hidden="1" thickTop="1" thickBot="1" x14ac:dyDescent="0.3">
      <c r="A236" s="665"/>
      <c r="B236" s="665"/>
      <c r="C236" s="666"/>
      <c r="D236" s="666"/>
      <c r="E236" s="666"/>
      <c r="F236" s="666"/>
      <c r="G236" s="666"/>
      <c r="H236" s="667"/>
      <c r="I236" s="666"/>
      <c r="J236" s="668" t="s">
        <v>56</v>
      </c>
      <c r="K236" s="666"/>
    </row>
    <row r="237" spans="1:52" ht="15" hidden="1" thickTop="1" thickBot="1" x14ac:dyDescent="0.3">
      <c r="A237" s="665"/>
      <c r="B237" s="665"/>
      <c r="C237" s="666"/>
      <c r="D237" s="666"/>
      <c r="E237" s="666"/>
      <c r="F237" s="666"/>
      <c r="G237" s="666"/>
      <c r="H237" s="667"/>
      <c r="I237" s="666"/>
      <c r="J237" s="669">
        <v>0</v>
      </c>
      <c r="K237" s="666"/>
    </row>
    <row r="238" spans="1:52" ht="15" hidden="1" thickTop="1" thickBot="1" x14ac:dyDescent="0.3">
      <c r="A238" s="665"/>
      <c r="B238" s="665"/>
      <c r="C238" s="666"/>
      <c r="D238" s="666"/>
      <c r="E238" s="666"/>
      <c r="F238" s="666"/>
      <c r="G238" s="666"/>
      <c r="H238" s="667"/>
      <c r="I238" s="666"/>
      <c r="J238" s="669">
        <v>0.08</v>
      </c>
      <c r="K238" s="666"/>
    </row>
    <row r="239" spans="1:52" ht="15" hidden="1" thickTop="1" thickBot="1" x14ac:dyDescent="0.3">
      <c r="A239" s="665"/>
      <c r="B239" s="665"/>
      <c r="C239" s="666"/>
      <c r="D239" s="666"/>
      <c r="E239" s="666"/>
      <c r="F239" s="666"/>
      <c r="G239" s="666"/>
      <c r="H239" s="667"/>
      <c r="I239" s="666"/>
      <c r="J239" s="669">
        <v>0.1</v>
      </c>
      <c r="K239" s="666"/>
    </row>
    <row r="240" spans="1:52" ht="15" hidden="1" thickTop="1" thickBot="1" x14ac:dyDescent="0.3">
      <c r="A240" s="665"/>
      <c r="B240" s="665"/>
      <c r="C240" s="666"/>
      <c r="D240" s="666"/>
      <c r="E240" s="666"/>
      <c r="F240" s="666"/>
      <c r="G240" s="666"/>
      <c r="H240" s="667"/>
      <c r="I240" s="666"/>
      <c r="J240" s="669">
        <v>0.15</v>
      </c>
      <c r="K240" s="666"/>
    </row>
    <row r="241" spans="1:13" ht="15" hidden="1" thickTop="1" thickBot="1" x14ac:dyDescent="0.3">
      <c r="A241" s="665"/>
      <c r="B241" s="665"/>
      <c r="C241" s="666"/>
      <c r="D241" s="666"/>
      <c r="E241" s="666"/>
      <c r="F241" s="666"/>
      <c r="G241" s="666"/>
      <c r="H241" s="667"/>
      <c r="I241" s="666"/>
      <c r="J241" s="669">
        <v>0.2</v>
      </c>
      <c r="K241" s="666"/>
    </row>
    <row r="242" spans="1:13" ht="15" hidden="1" thickTop="1" thickBot="1" x14ac:dyDescent="0.3">
      <c r="A242" s="665"/>
      <c r="B242" s="665"/>
      <c r="C242" s="666"/>
      <c r="D242" s="666"/>
      <c r="E242" s="666"/>
      <c r="F242" s="666"/>
      <c r="G242" s="666"/>
      <c r="H242" s="667"/>
      <c r="I242" s="666"/>
      <c r="J242" s="669">
        <v>0.25</v>
      </c>
      <c r="K242" s="666"/>
    </row>
    <row r="243" spans="1:13" ht="15" hidden="1" thickTop="1" thickBot="1" x14ac:dyDescent="0.3">
      <c r="A243" s="665"/>
      <c r="B243" s="665"/>
      <c r="C243" s="666"/>
      <c r="D243" s="666"/>
      <c r="E243" s="666"/>
      <c r="F243" s="666"/>
      <c r="G243" s="666"/>
      <c r="H243" s="667"/>
      <c r="I243" s="666"/>
      <c r="J243" s="669">
        <v>0.26</v>
      </c>
      <c r="K243" s="666"/>
    </row>
    <row r="244" spans="1:13" ht="15" hidden="1" thickTop="1" thickBot="1" x14ac:dyDescent="0.3">
      <c r="A244" s="665"/>
      <c r="B244" s="665"/>
      <c r="C244" s="666"/>
      <c r="D244" s="666"/>
      <c r="E244" s="666"/>
      <c r="F244" s="666"/>
      <c r="G244" s="666"/>
      <c r="H244" s="667"/>
      <c r="I244" s="666"/>
      <c r="J244" s="669">
        <v>0.3</v>
      </c>
      <c r="K244" s="666"/>
    </row>
    <row r="245" spans="1:13" ht="15" hidden="1" thickTop="1" thickBot="1" x14ac:dyDescent="0.3">
      <c r="A245" s="665"/>
      <c r="B245" s="665"/>
      <c r="C245" s="666"/>
      <c r="D245" s="666"/>
      <c r="E245" s="666"/>
      <c r="F245" s="666"/>
      <c r="G245" s="666"/>
      <c r="H245" s="667"/>
      <c r="I245" s="666"/>
      <c r="J245" s="669">
        <v>0.34</v>
      </c>
      <c r="K245" s="666"/>
    </row>
    <row r="246" spans="1:13" ht="15" hidden="1" thickTop="1" thickBot="1" x14ac:dyDescent="0.3">
      <c r="A246" s="665"/>
      <c r="B246" s="665"/>
      <c r="C246" s="666"/>
      <c r="D246" s="666"/>
      <c r="E246" s="666"/>
      <c r="F246" s="666"/>
      <c r="G246" s="666"/>
      <c r="H246" s="667"/>
      <c r="I246" s="666"/>
      <c r="J246" s="669">
        <v>0.35</v>
      </c>
      <c r="K246" s="666"/>
    </row>
    <row r="247" spans="1:13" ht="15" hidden="1" thickTop="1" thickBot="1" x14ac:dyDescent="0.3">
      <c r="A247" s="665"/>
      <c r="B247" s="665"/>
      <c r="C247" s="666"/>
      <c r="D247" s="666"/>
      <c r="E247" s="666"/>
      <c r="F247" s="666"/>
      <c r="G247" s="666"/>
      <c r="H247" s="667"/>
      <c r="I247" s="666"/>
      <c r="J247" s="669">
        <v>0.4</v>
      </c>
      <c r="K247" s="666"/>
    </row>
    <row r="248" spans="1:13" ht="15" hidden="1" thickTop="1" thickBot="1" x14ac:dyDescent="0.3">
      <c r="A248" s="665"/>
      <c r="B248" s="665"/>
      <c r="C248" s="666"/>
      <c r="D248" s="666"/>
      <c r="E248" s="666"/>
      <c r="F248" s="666"/>
      <c r="G248" s="666"/>
      <c r="H248" s="667"/>
      <c r="I248" s="666"/>
      <c r="J248" s="669">
        <v>0.41</v>
      </c>
      <c r="K248" s="666"/>
    </row>
    <row r="249" spans="1:13" ht="15" hidden="1" thickTop="1" thickBot="1" x14ac:dyDescent="0.3">
      <c r="A249" s="665"/>
      <c r="B249" s="665"/>
      <c r="C249" s="666"/>
      <c r="D249" s="666"/>
      <c r="E249" s="666"/>
      <c r="F249" s="666"/>
      <c r="G249" s="666"/>
      <c r="H249" s="667"/>
      <c r="I249" s="666"/>
      <c r="J249" s="670">
        <v>0.69499999999999995</v>
      </c>
      <c r="K249" s="666"/>
    </row>
    <row r="250" spans="1:13" ht="20.25" customHeight="1" thickTop="1" thickBot="1" x14ac:dyDescent="0.3">
      <c r="A250" s="322" t="s">
        <v>123</v>
      </c>
      <c r="B250" s="322"/>
      <c r="C250" s="322"/>
      <c r="D250" s="322"/>
      <c r="E250" s="322"/>
      <c r="F250" s="322"/>
      <c r="G250" s="322"/>
      <c r="H250" s="323"/>
      <c r="I250" s="322"/>
      <c r="J250" s="324"/>
      <c r="K250" s="320"/>
    </row>
    <row r="251" spans="1:13" ht="16.5" customHeight="1" thickTop="1" thickBot="1" x14ac:dyDescent="0.3">
      <c r="A251" s="436"/>
      <c r="B251" s="436"/>
      <c r="C251" s="436"/>
      <c r="D251" s="436"/>
      <c r="E251" s="436"/>
      <c r="F251" s="436"/>
      <c r="G251" s="436"/>
      <c r="H251" s="437"/>
      <c r="I251" s="436"/>
      <c r="J251" s="436"/>
      <c r="K251" s="325"/>
    </row>
    <row r="252" spans="1:13" ht="16.5" customHeight="1" thickTop="1" thickBot="1" x14ac:dyDescent="0.3">
      <c r="A252" s="438" t="s">
        <v>382</v>
      </c>
      <c r="B252" s="438"/>
      <c r="C252" s="438"/>
      <c r="D252" s="438"/>
      <c r="E252" s="321" t="s">
        <v>60</v>
      </c>
      <c r="F252" s="438"/>
      <c r="G252" s="438"/>
      <c r="H252" s="439"/>
      <c r="I252" s="438"/>
      <c r="J252" s="438"/>
      <c r="K252" s="311" t="s">
        <v>269</v>
      </c>
      <c r="L252" s="522"/>
      <c r="M252" s="522"/>
    </row>
    <row r="253" spans="1:13" ht="16.5" customHeight="1" thickTop="1" x14ac:dyDescent="0.25">
      <c r="A253" s="438" t="s">
        <v>213</v>
      </c>
      <c r="B253" s="438"/>
      <c r="C253" s="438"/>
      <c r="D253" s="438"/>
      <c r="E253" s="438"/>
      <c r="F253" s="438"/>
      <c r="G253" s="438"/>
      <c r="H253" s="439"/>
      <c r="I253" s="438"/>
      <c r="J253" s="438"/>
      <c r="K253" s="320"/>
    </row>
    <row r="254" spans="1:13" ht="16.5" customHeight="1" x14ac:dyDescent="0.25">
      <c r="A254" s="438" t="s">
        <v>439</v>
      </c>
      <c r="B254" s="438"/>
      <c r="C254" s="438"/>
      <c r="D254" s="438"/>
      <c r="E254" s="438"/>
      <c r="F254" s="438"/>
      <c r="G254" s="438"/>
      <c r="H254" s="439"/>
      <c r="I254" s="438"/>
      <c r="J254" s="438"/>
      <c r="K254" s="320"/>
    </row>
    <row r="255" spans="1:13" ht="16.5" customHeight="1" x14ac:dyDescent="0.25">
      <c r="A255" s="438" t="s">
        <v>440</v>
      </c>
      <c r="B255" s="438"/>
      <c r="C255" s="438"/>
      <c r="D255" s="438"/>
      <c r="E255" s="438"/>
      <c r="F255" s="438"/>
      <c r="G255" s="438"/>
      <c r="H255" s="439"/>
      <c r="I255" s="438"/>
      <c r="J255" s="438"/>
      <c r="K255" s="320"/>
    </row>
    <row r="256" spans="1:13" ht="16.5" customHeight="1" x14ac:dyDescent="0.25">
      <c r="A256" s="438" t="s">
        <v>153</v>
      </c>
      <c r="B256" s="438"/>
      <c r="C256" s="438"/>
      <c r="D256" s="438"/>
      <c r="E256" s="438"/>
      <c r="F256" s="438"/>
      <c r="G256" s="438"/>
      <c r="H256" s="439"/>
      <c r="I256" s="438"/>
      <c r="J256" s="438"/>
      <c r="K256" s="320"/>
    </row>
    <row r="257" spans="1:15" ht="16.5" customHeight="1" thickBot="1" x14ac:dyDescent="0.3">
      <c r="A257" s="436"/>
      <c r="B257" s="436"/>
      <c r="C257" s="436"/>
      <c r="D257" s="436"/>
      <c r="E257" s="436"/>
      <c r="F257" s="436"/>
      <c r="G257" s="436"/>
      <c r="H257" s="437"/>
      <c r="I257" s="436"/>
      <c r="J257" s="436"/>
      <c r="K257" s="325"/>
    </row>
    <row r="258" spans="1:15" ht="16.5" customHeight="1" thickTop="1" thickBot="1" x14ac:dyDescent="0.3">
      <c r="A258" s="438" t="s">
        <v>383</v>
      </c>
      <c r="B258" s="438"/>
      <c r="C258" s="438"/>
      <c r="D258" s="438"/>
      <c r="E258" s="438"/>
      <c r="F258" s="438"/>
      <c r="G258" s="321" t="s">
        <v>60</v>
      </c>
      <c r="H258" s="439"/>
      <c r="I258" s="438"/>
      <c r="J258" s="438"/>
      <c r="K258" s="440" t="s">
        <v>149</v>
      </c>
      <c r="L258" s="740"/>
      <c r="M258" s="740"/>
    </row>
    <row r="259" spans="1:15" ht="16.5" customHeight="1" thickTop="1" x14ac:dyDescent="0.25">
      <c r="A259" s="438" t="s">
        <v>437</v>
      </c>
      <c r="B259" s="438"/>
      <c r="C259" s="438"/>
      <c r="D259" s="438"/>
      <c r="E259" s="438"/>
      <c r="F259" s="438"/>
      <c r="G259" s="438"/>
      <c r="H259" s="439"/>
      <c r="I259" s="438"/>
      <c r="J259" s="438"/>
      <c r="K259" s="441" t="s">
        <v>150</v>
      </c>
      <c r="L259" s="740"/>
      <c r="M259" s="740"/>
    </row>
    <row r="260" spans="1:15" ht="16.5" customHeight="1" x14ac:dyDescent="0.25">
      <c r="A260" s="438" t="s">
        <v>146</v>
      </c>
      <c r="B260" s="438"/>
      <c r="C260" s="438"/>
      <c r="D260" s="438"/>
      <c r="E260" s="438"/>
      <c r="F260" s="438"/>
      <c r="G260" s="438"/>
      <c r="H260" s="439"/>
      <c r="I260" s="438"/>
      <c r="J260" s="438"/>
      <c r="K260" s="320"/>
    </row>
    <row r="261" spans="1:15" ht="16.5" customHeight="1" x14ac:dyDescent="0.25">
      <c r="A261" s="438" t="s">
        <v>435</v>
      </c>
      <c r="B261" s="438"/>
      <c r="C261" s="438"/>
      <c r="D261" s="438"/>
      <c r="E261" s="438"/>
      <c r="F261" s="438"/>
      <c r="G261" s="438"/>
      <c r="H261" s="439"/>
      <c r="I261" s="438"/>
      <c r="J261" s="438"/>
      <c r="K261" s="320"/>
    </row>
    <row r="262" spans="1:15" ht="16.5" customHeight="1" x14ac:dyDescent="0.25">
      <c r="A262" s="438" t="s">
        <v>436</v>
      </c>
      <c r="B262" s="438"/>
      <c r="C262" s="438"/>
      <c r="D262" s="438"/>
      <c r="E262" s="438"/>
      <c r="F262" s="438"/>
      <c r="G262" s="438"/>
      <c r="H262" s="439"/>
      <c r="I262" s="438"/>
      <c r="J262" s="438"/>
      <c r="K262" s="320"/>
    </row>
    <row r="263" spans="1:15" ht="16.5" customHeight="1" x14ac:dyDescent="0.25">
      <c r="A263" s="436"/>
      <c r="B263" s="436"/>
      <c r="C263" s="436"/>
      <c r="D263" s="436"/>
      <c r="E263" s="436"/>
      <c r="F263" s="436"/>
      <c r="G263" s="436"/>
      <c r="H263" s="437"/>
      <c r="I263" s="436"/>
      <c r="J263" s="436"/>
      <c r="K263" s="325"/>
    </row>
    <row r="264" spans="1:15" x14ac:dyDescent="0.25">
      <c r="A264" s="860"/>
      <c r="B264" s="860"/>
      <c r="C264" s="861"/>
      <c r="D264" s="861"/>
      <c r="E264" s="861"/>
      <c r="F264" s="861"/>
      <c r="G264" s="861"/>
      <c r="H264" s="861"/>
      <c r="I264" s="861"/>
      <c r="J264" s="861"/>
      <c r="K264" s="861"/>
      <c r="L264" s="246"/>
      <c r="M264" s="246"/>
      <c r="N264" s="246"/>
      <c r="O264" s="246"/>
    </row>
    <row r="265" spans="1:15" ht="14.4" x14ac:dyDescent="0.25">
      <c r="A265" s="897" t="s">
        <v>445</v>
      </c>
      <c r="B265" s="883"/>
      <c r="C265" s="884"/>
      <c r="D265" s="884"/>
      <c r="E265" s="884"/>
      <c r="F265" s="884"/>
      <c r="G265" s="884"/>
      <c r="H265" s="884"/>
      <c r="I265" s="884"/>
      <c r="J265" s="884"/>
      <c r="K265" s="884"/>
      <c r="L265" s="246"/>
      <c r="M265" s="246"/>
      <c r="N265" s="246"/>
      <c r="O265" s="246"/>
    </row>
    <row r="266" spans="1:15" ht="14.4" thickBot="1" x14ac:dyDescent="0.3">
      <c r="A266" s="857"/>
      <c r="B266" s="858"/>
      <c r="C266" s="859"/>
      <c r="D266" s="859"/>
      <c r="E266" s="859"/>
      <c r="F266" s="859"/>
      <c r="G266" s="859"/>
      <c r="H266" s="859"/>
      <c r="I266" s="859"/>
      <c r="J266" s="859"/>
      <c r="K266" s="859"/>
      <c r="L266" s="246"/>
      <c r="M266" s="246"/>
      <c r="N266" s="246"/>
      <c r="O266" s="246"/>
    </row>
    <row r="267" spans="1:15" x14ac:dyDescent="0.25">
      <c r="A267" s="453"/>
      <c r="B267" s="328"/>
      <c r="C267" s="328"/>
      <c r="D267" s="328"/>
      <c r="E267" s="328"/>
      <c r="F267" s="328"/>
      <c r="G267" s="328"/>
      <c r="H267" s="328"/>
      <c r="I267" s="328"/>
      <c r="J267" s="328"/>
      <c r="K267" s="328"/>
      <c r="N267" s="326"/>
      <c r="O267" s="326"/>
    </row>
    <row r="268" spans="1:15" hidden="1" x14ac:dyDescent="0.25">
      <c r="A268" s="477"/>
      <c r="N268" s="326"/>
      <c r="O268" s="326"/>
    </row>
    <row r="269" spans="1:15" hidden="1" x14ac:dyDescent="0.25">
      <c r="A269" s="539"/>
      <c r="B269" s="539"/>
      <c r="C269" s="561"/>
      <c r="D269" s="561"/>
      <c r="E269" s="561"/>
      <c r="F269" s="561"/>
      <c r="G269" s="561"/>
      <c r="H269" s="561"/>
      <c r="I269" s="561"/>
      <c r="J269" s="561"/>
      <c r="K269" s="561"/>
      <c r="N269" s="326"/>
      <c r="O269" s="326"/>
    </row>
    <row r="270" spans="1:15" hidden="1" x14ac:dyDescent="0.25">
      <c r="A270" s="686"/>
      <c r="B270" s="687"/>
      <c r="C270" s="561"/>
      <c r="D270" s="688" t="s">
        <v>64</v>
      </c>
      <c r="E270" s="561"/>
      <c r="F270" s="561"/>
      <c r="G270" s="561"/>
      <c r="H270" s="561"/>
      <c r="I270" s="671"/>
      <c r="J270" s="561"/>
      <c r="K270" s="671"/>
      <c r="L270" s="749"/>
      <c r="M270" s="749"/>
      <c r="N270" s="326"/>
      <c r="O270" s="326"/>
    </row>
    <row r="271" spans="1:15" hidden="1" x14ac:dyDescent="0.25">
      <c r="A271" s="689"/>
      <c r="B271" s="690"/>
      <c r="C271" s="561"/>
      <c r="D271" s="691">
        <v>0</v>
      </c>
      <c r="E271" s="561"/>
      <c r="F271" s="561"/>
      <c r="G271" s="561"/>
      <c r="H271" s="561"/>
      <c r="I271" s="561"/>
      <c r="J271" s="561"/>
      <c r="K271" s="561"/>
      <c r="N271" s="326"/>
      <c r="O271" s="326"/>
    </row>
    <row r="272" spans="1:15" hidden="1" x14ac:dyDescent="0.25">
      <c r="A272" s="692"/>
      <c r="B272" s="693"/>
      <c r="C272" s="561"/>
      <c r="D272" s="694">
        <v>25000</v>
      </c>
      <c r="E272" s="561"/>
      <c r="F272" s="561"/>
      <c r="G272" s="561"/>
      <c r="H272" s="561"/>
      <c r="I272" s="561"/>
      <c r="J272" s="561"/>
      <c r="K272" s="561"/>
      <c r="N272" s="326"/>
      <c r="O272" s="326"/>
    </row>
    <row r="273" spans="1:31" hidden="1" x14ac:dyDescent="0.25">
      <c r="A273" s="561"/>
      <c r="B273" s="561"/>
      <c r="C273" s="561"/>
      <c r="D273" s="694">
        <v>50000</v>
      </c>
      <c r="E273" s="539"/>
      <c r="F273" s="539"/>
      <c r="G273" s="539"/>
      <c r="H273" s="561"/>
      <c r="I273" s="561"/>
      <c r="J273" s="561"/>
      <c r="K273" s="561"/>
      <c r="N273" s="326"/>
      <c r="O273" s="326"/>
    </row>
    <row r="274" spans="1:31" hidden="1" x14ac:dyDescent="0.25">
      <c r="A274" s="674" t="s">
        <v>63</v>
      </c>
      <c r="B274" s="561"/>
      <c r="C274" s="561"/>
      <c r="D274" s="694">
        <v>75000</v>
      </c>
      <c r="E274" s="539"/>
      <c r="F274" s="539"/>
      <c r="G274" s="539"/>
      <c r="H274" s="561"/>
      <c r="I274" s="561"/>
      <c r="J274" s="561"/>
      <c r="K274" s="561"/>
      <c r="N274" s="326"/>
      <c r="O274" s="326"/>
    </row>
    <row r="275" spans="1:31" hidden="1" x14ac:dyDescent="0.25">
      <c r="A275" s="676" t="s">
        <v>59</v>
      </c>
      <c r="B275" s="561"/>
      <c r="C275" s="561"/>
      <c r="D275" s="694">
        <v>100000</v>
      </c>
      <c r="E275" s="539"/>
      <c r="F275" s="539"/>
      <c r="G275" s="539"/>
      <c r="H275" s="561"/>
      <c r="I275" s="561"/>
      <c r="J275" s="561"/>
      <c r="K275" s="561"/>
      <c r="N275" s="326"/>
      <c r="O275" s="326"/>
    </row>
    <row r="276" spans="1:31" hidden="1" x14ac:dyDescent="0.25">
      <c r="A276" s="676" t="s">
        <v>60</v>
      </c>
      <c r="B276" s="561"/>
      <c r="C276" s="561"/>
      <c r="D276" s="694">
        <v>125000</v>
      </c>
      <c r="E276" s="539"/>
      <c r="F276" s="539"/>
      <c r="G276" s="539"/>
      <c r="H276" s="561"/>
      <c r="I276" s="561"/>
      <c r="J276" s="561"/>
      <c r="K276" s="561"/>
      <c r="N276" s="326"/>
      <c r="O276" s="326"/>
    </row>
    <row r="277" spans="1:31" hidden="1" x14ac:dyDescent="0.25">
      <c r="A277" s="561"/>
      <c r="B277" s="561"/>
      <c r="C277" s="561"/>
      <c r="D277" s="694">
        <v>150000</v>
      </c>
      <c r="E277" s="539"/>
      <c r="F277" s="539"/>
      <c r="G277" s="539"/>
      <c r="H277" s="561"/>
      <c r="I277" s="561"/>
      <c r="J277" s="561"/>
      <c r="K277" s="561"/>
      <c r="N277" s="326"/>
      <c r="O277" s="326"/>
    </row>
    <row r="278" spans="1:31" hidden="1" x14ac:dyDescent="0.25">
      <c r="A278" s="561"/>
      <c r="B278" s="561"/>
      <c r="C278" s="561"/>
      <c r="D278" s="694">
        <v>175000</v>
      </c>
      <c r="E278" s="539"/>
      <c r="F278" s="539"/>
      <c r="G278" s="539"/>
      <c r="H278" s="561"/>
      <c r="I278" s="561"/>
      <c r="J278" s="561"/>
      <c r="K278" s="561"/>
      <c r="N278" s="326"/>
      <c r="O278" s="326"/>
    </row>
    <row r="279" spans="1:31" hidden="1" x14ac:dyDescent="0.25">
      <c r="A279" s="561"/>
      <c r="B279" s="561"/>
      <c r="C279" s="561"/>
      <c r="D279" s="694">
        <v>200000</v>
      </c>
      <c r="E279" s="539"/>
      <c r="F279" s="539"/>
      <c r="G279" s="539"/>
      <c r="H279" s="561"/>
      <c r="I279" s="561"/>
      <c r="J279" s="561"/>
      <c r="K279" s="561"/>
      <c r="N279" s="326"/>
      <c r="O279" s="326"/>
    </row>
    <row r="280" spans="1:31" hidden="1" x14ac:dyDescent="0.25">
      <c r="A280" s="561"/>
      <c r="B280" s="561"/>
      <c r="C280" s="561"/>
      <c r="D280" s="694">
        <v>225000</v>
      </c>
      <c r="E280" s="539"/>
      <c r="F280" s="539"/>
      <c r="G280" s="539"/>
      <c r="H280" s="561"/>
      <c r="I280" s="561"/>
      <c r="J280" s="561"/>
      <c r="K280" s="561"/>
      <c r="N280" s="326"/>
      <c r="O280" s="326"/>
    </row>
    <row r="281" spans="1:31" hidden="1" x14ac:dyDescent="0.25">
      <c r="A281" s="561"/>
      <c r="B281" s="561"/>
      <c r="C281" s="561"/>
      <c r="D281" s="694">
        <v>250000</v>
      </c>
      <c r="E281" s="539"/>
      <c r="F281" s="539"/>
      <c r="G281" s="539"/>
      <c r="H281" s="561"/>
      <c r="I281" s="561"/>
      <c r="J281" s="561"/>
      <c r="K281" s="561"/>
      <c r="N281" s="326"/>
      <c r="O281" s="326"/>
    </row>
    <row r="282" spans="1:31" hidden="1" x14ac:dyDescent="0.25">
      <c r="A282" s="561"/>
      <c r="B282" s="561"/>
      <c r="C282" s="561"/>
      <c r="D282" s="539"/>
      <c r="E282" s="539"/>
      <c r="F282" s="539"/>
      <c r="G282" s="539"/>
      <c r="H282" s="561"/>
      <c r="I282" s="561"/>
      <c r="J282" s="561"/>
      <c r="K282" s="561"/>
      <c r="N282" s="326"/>
      <c r="O282" s="326"/>
    </row>
    <row r="283" spans="1:31" ht="15" hidden="1" thickTop="1" thickBot="1" x14ac:dyDescent="0.3">
      <c r="A283" s="1490" t="str">
        <f>SetUp!A4:B4</f>
        <v>1.  Is the source of the funding federal?</v>
      </c>
      <c r="B283" s="1490"/>
      <c r="C283" s="695" t="str">
        <f>SetUp!C4</f>
        <v>Yes</v>
      </c>
      <c r="D283" s="561"/>
      <c r="E283" s="561"/>
      <c r="F283" s="561"/>
      <c r="G283" s="561"/>
      <c r="H283" s="561"/>
      <c r="I283" s="561"/>
      <c r="J283" s="561"/>
      <c r="K283" s="561"/>
      <c r="Z283" s="866"/>
      <c r="AA283" s="866"/>
      <c r="AD283" s="866"/>
      <c r="AE283" s="866"/>
    </row>
    <row r="284" spans="1:31" hidden="1" x14ac:dyDescent="0.25">
      <c r="A284" s="539"/>
      <c r="B284" s="539"/>
      <c r="C284" s="561"/>
      <c r="D284" s="561"/>
      <c r="E284" s="561"/>
      <c r="F284" s="561"/>
      <c r="G284" s="561"/>
      <c r="H284" s="561"/>
      <c r="I284" s="561"/>
      <c r="J284" s="561"/>
      <c r="K284" s="561"/>
      <c r="Z284" s="866"/>
      <c r="AA284" s="866"/>
      <c r="AD284" s="866"/>
      <c r="AE284" s="866"/>
    </row>
    <row r="285" spans="1:31" ht="15" hidden="1" thickTop="1" thickBot="1" x14ac:dyDescent="0.3">
      <c r="A285" s="539" t="str">
        <f>'Y1'!A104</f>
        <v>1.  Is this a NIH modular budget?</v>
      </c>
      <c r="B285" s="539"/>
      <c r="C285" s="696" t="str">
        <f>'Y1'!L104</f>
        <v>No</v>
      </c>
      <c r="D285" s="561"/>
      <c r="E285" s="561"/>
      <c r="F285" s="561"/>
      <c r="G285" s="561"/>
      <c r="H285" s="561"/>
      <c r="I285" s="561"/>
      <c r="J285" s="561"/>
      <c r="K285" s="561"/>
      <c r="Z285" s="866"/>
      <c r="AA285" s="866"/>
      <c r="AD285" s="866"/>
      <c r="AE285" s="866"/>
    </row>
    <row r="286" spans="1:31" hidden="1" x14ac:dyDescent="0.25">
      <c r="A286" s="539" t="str">
        <f>'Y1'!A105</f>
        <v xml:space="preserve">       If Yes, please choose a module from the drop down menu in the "NIH Modular Amount" box. Also choosing Yes will allow the form to calculate F&amp;A on the modular amount.</v>
      </c>
      <c r="B286" s="539"/>
      <c r="C286" s="539"/>
      <c r="D286" s="539"/>
      <c r="E286" s="539"/>
      <c r="F286" s="539"/>
      <c r="G286" s="539"/>
      <c r="H286" s="539"/>
      <c r="I286" s="539"/>
      <c r="J286" s="539"/>
      <c r="K286" s="539"/>
    </row>
    <row r="287" spans="1:31" ht="15" x14ac:dyDescent="0.25">
      <c r="A287" s="479"/>
      <c r="B287" s="479"/>
      <c r="C287" s="480"/>
      <c r="D287" s="480"/>
      <c r="E287" s="480"/>
      <c r="F287" s="480"/>
      <c r="G287" s="480"/>
      <c r="H287" s="480"/>
    </row>
    <row r="288" spans="1:31" x14ac:dyDescent="0.25">
      <c r="A288" s="403"/>
      <c r="B288" s="481"/>
      <c r="C288" s="480"/>
      <c r="D288" s="480"/>
      <c r="E288" s="480"/>
      <c r="F288" s="480"/>
      <c r="G288" s="482"/>
      <c r="H288" s="480"/>
    </row>
    <row r="289" spans="1:8" x14ac:dyDescent="0.25">
      <c r="A289" s="403"/>
      <c r="B289" s="481"/>
      <c r="C289" s="480"/>
      <c r="D289" s="480"/>
      <c r="E289" s="480"/>
      <c r="F289" s="480"/>
      <c r="G289" s="481"/>
      <c r="H289" s="480"/>
    </row>
    <row r="290" spans="1:8" x14ac:dyDescent="0.25">
      <c r="A290" s="403"/>
      <c r="B290" s="481"/>
      <c r="C290" s="480"/>
      <c r="D290" s="480"/>
      <c r="E290" s="480"/>
      <c r="F290" s="480"/>
      <c r="G290" s="482"/>
      <c r="H290" s="480"/>
    </row>
    <row r="291" spans="1:8" x14ac:dyDescent="0.25">
      <c r="A291" s="481"/>
      <c r="B291" s="481"/>
      <c r="C291" s="480"/>
      <c r="D291" s="480"/>
      <c r="E291" s="480"/>
      <c r="F291" s="480"/>
      <c r="G291" s="483"/>
      <c r="H291" s="480"/>
    </row>
    <row r="292" spans="1:8" x14ac:dyDescent="0.25">
      <c r="A292" s="403"/>
      <c r="B292" s="481"/>
      <c r="C292" s="480"/>
      <c r="D292" s="480"/>
      <c r="E292" s="480"/>
      <c r="F292" s="480"/>
      <c r="G292" s="480"/>
      <c r="H292" s="480"/>
    </row>
    <row r="293" spans="1:8" x14ac:dyDescent="0.25">
      <c r="A293" s="403"/>
      <c r="B293" s="481"/>
      <c r="C293" s="480"/>
      <c r="D293" s="480"/>
      <c r="E293" s="480"/>
      <c r="F293" s="480"/>
      <c r="G293" s="482"/>
      <c r="H293" s="480"/>
    </row>
    <row r="294" spans="1:8" x14ac:dyDescent="0.25">
      <c r="A294" s="403"/>
      <c r="B294" s="481"/>
      <c r="C294" s="480"/>
      <c r="D294" s="480"/>
      <c r="E294" s="480"/>
      <c r="F294" s="480"/>
      <c r="G294" s="481"/>
      <c r="H294" s="480"/>
    </row>
    <row r="295" spans="1:8" x14ac:dyDescent="0.25">
      <c r="A295" s="403"/>
      <c r="B295" s="481"/>
      <c r="C295" s="480"/>
      <c r="D295" s="480"/>
      <c r="E295" s="480"/>
      <c r="F295" s="480"/>
      <c r="G295" s="482"/>
      <c r="H295" s="483"/>
    </row>
    <row r="296" spans="1:8" x14ac:dyDescent="0.25">
      <c r="A296" s="481"/>
      <c r="B296" s="481"/>
      <c r="C296" s="480"/>
      <c r="D296" s="480"/>
      <c r="E296" s="480"/>
      <c r="F296" s="480"/>
      <c r="G296" s="483"/>
      <c r="H296" s="480"/>
    </row>
    <row r="297" spans="1:8" x14ac:dyDescent="0.25">
      <c r="A297" s="403"/>
      <c r="B297" s="481"/>
      <c r="C297" s="480"/>
      <c r="D297" s="480"/>
      <c r="E297" s="480"/>
      <c r="F297" s="480"/>
      <c r="G297" s="480"/>
      <c r="H297" s="484"/>
    </row>
    <row r="298" spans="1:8" x14ac:dyDescent="0.25">
      <c r="A298" s="485"/>
      <c r="B298" s="485"/>
      <c r="C298" s="480"/>
      <c r="D298" s="480"/>
      <c r="E298" s="480"/>
      <c r="F298" s="480"/>
      <c r="G298" s="480"/>
      <c r="H298" s="480"/>
    </row>
    <row r="299" spans="1:8" x14ac:dyDescent="0.25">
      <c r="A299" s="403"/>
      <c r="B299" s="481"/>
      <c r="C299" s="480"/>
      <c r="D299" s="480"/>
      <c r="E299" s="480"/>
      <c r="F299" s="480"/>
      <c r="G299" s="480"/>
      <c r="H299" s="480"/>
    </row>
    <row r="300" spans="1:8" x14ac:dyDescent="0.25">
      <c r="A300" s="481"/>
      <c r="B300" s="481"/>
      <c r="C300" s="480"/>
      <c r="D300" s="480"/>
      <c r="E300" s="480"/>
      <c r="F300" s="480"/>
      <c r="G300" s="480"/>
      <c r="H300" s="484"/>
    </row>
    <row r="301" spans="1:8" x14ac:dyDescent="0.25">
      <c r="A301" s="486"/>
      <c r="B301" s="486"/>
      <c r="C301" s="480"/>
      <c r="D301" s="480"/>
      <c r="E301" s="480"/>
      <c r="F301" s="480"/>
      <c r="G301" s="480"/>
      <c r="H301" s="484"/>
    </row>
  </sheetData>
  <sheetProtection password="EC4C" sheet="1" objects="1" scenarios="1" formatCells="0" formatColumns="0" formatRows="0" insertColumns="0" insertRows="0" insertHyperlinks="0" selectLockedCells="1"/>
  <mergeCells count="34">
    <mergeCell ref="Y14:AE15"/>
    <mergeCell ref="N13:P13"/>
    <mergeCell ref="R13:W13"/>
    <mergeCell ref="O14:O18"/>
    <mergeCell ref="U14:U18"/>
    <mergeCell ref="V14:V18"/>
    <mergeCell ref="I15:K15"/>
    <mergeCell ref="R15:R18"/>
    <mergeCell ref="S15:S18"/>
    <mergeCell ref="T15:T18"/>
    <mergeCell ref="N16:N18"/>
    <mergeCell ref="AJ19:AK19"/>
    <mergeCell ref="AM19:AO19"/>
    <mergeCell ref="AG14:AH14"/>
    <mergeCell ref="AJ14:AK14"/>
    <mergeCell ref="AM14:AN14"/>
    <mergeCell ref="D18:E18"/>
    <mergeCell ref="F18:G18"/>
    <mergeCell ref="AC19:AE19"/>
    <mergeCell ref="AG19:AH19"/>
    <mergeCell ref="Y36:AA36"/>
    <mergeCell ref="AC36:AE36"/>
    <mergeCell ref="AG36:AH36"/>
    <mergeCell ref="AJ36:AK36"/>
    <mergeCell ref="AM36:AO36"/>
    <mergeCell ref="A183:C183"/>
    <mergeCell ref="A283:B283"/>
    <mergeCell ref="Y56:Z56"/>
    <mergeCell ref="AC56:AE56"/>
    <mergeCell ref="Y65:Z65"/>
    <mergeCell ref="AC65:AE65"/>
    <mergeCell ref="E180:K180"/>
    <mergeCell ref="A182:C182"/>
    <mergeCell ref="A45:J45"/>
  </mergeCells>
  <dataValidations count="17">
    <dataValidation type="list" allowBlank="1" showInputMessage="1" showErrorMessage="1" sqref="I90">
      <formula1>$J$201:$J$204</formula1>
    </dataValidation>
    <dataValidation type="list" allowBlank="1" showInputMessage="1" showErrorMessage="1" sqref="I94">
      <formula1>$J$206:$J$209</formula1>
    </dataValidation>
    <dataValidation type="list" allowBlank="1" showInputMessage="1" showErrorMessage="1" sqref="I102">
      <formula1>$J$237:$J$250</formula1>
    </dataValidation>
    <dataValidation type="list" allowBlank="1" showInputMessage="1" showErrorMessage="1" prompt="If you've already included the subaward on your Y1 budget and its Y1 value is equal to or greater than 25K, answer No." sqref="C133">
      <formula1>$A$275:$A$276</formula1>
    </dataValidation>
    <dataValidation type="list" allowBlank="1" showInputMessage="1" showErrorMessage="1" promptTitle="Still not sure?" prompt="PIs generally add new subawards in the Y1 budget tab and continue them in the future years. _x000a__x000a_If you're adding it for the 1st time in this budget year and its value is less than $25,000, answer Yes." sqref="E175">
      <formula1>$A$203:$A$204</formula1>
    </dataValidation>
    <dataValidation type="list" allowBlank="1" showInputMessage="1" showErrorMessage="1" sqref="H263 H116:H119">
      <formula1>Subwardsq</formula1>
    </dataValidation>
    <dataValidation type="list" allowBlank="1" showInputMessage="1" showErrorMessage="1" sqref="E138">
      <formula1>$J$140:$J$165</formula1>
    </dataValidation>
    <dataValidation type="list" allowBlank="1" showInputMessage="1" showErrorMessage="1" sqref="C168 L198:M198 J198 I197 R20:R27 H188 G258 I235 E252 E113 E228 E125 G194 O21:O27">
      <formula1>$A$275:$A$276</formula1>
    </dataValidation>
    <dataValidation type="list" allowBlank="1" showInputMessage="1" showErrorMessage="1" promptTitle="Not Sure?" prompt="Assume Yes unless otherwise specified in the agency's instructions." sqref="I225">
      <formula1>$A$275:$A$276</formula1>
    </dataValidation>
    <dataValidation allowBlank="1" showInputMessage="1" showErrorMessage="1" promptTitle="Confused?" prompt="Do not confuse the FRINGE BENEFIT RATE with the F&amp;A Rate.  This question is about fringe benefits." sqref="J226"/>
    <dataValidation allowBlank="1" showInputMessage="1" showErrorMessage="1" prompt="This would be costs such as tuition for the PI on an NIH K award." sqref="A77"/>
    <dataValidation type="list" allowBlank="1" showInputMessage="1" showErrorMessage="1" sqref="F123">
      <formula1>$F$117:$F$122</formula1>
    </dataValidation>
    <dataValidation type="list" allowBlank="1" showInputMessage="1" showErrorMessage="1" promptTitle="K award?" prompt="Answer &quot;No&quot; if this is a K award.  _x000a__x000a_Answer &quot;Yes&quot; if there is a K awardee on your budget where the funding source is federal.  Example: NIH R01 grant with a K awardee as a co-investigator." sqref="O20">
      <formula1>$A$275:$A$276</formula1>
    </dataValidation>
    <dataValidation type="list" allowBlank="1" showInputMessage="1" showErrorMessage="1" sqref="K85:M85">
      <formula1>$D$271:$D$281</formula1>
    </dataValidation>
    <dataValidation type="whole" allowBlank="1" showInputMessage="1" showErrorMessage="1" sqref="G183">
      <formula1>0</formula1>
      <formula2>25000</formula2>
    </dataValidation>
    <dataValidation type="whole" operator="lessThanOrEqual" allowBlank="1" showInputMessage="1" showErrorMessage="1" sqref="G182">
      <formula1>25000</formula1>
    </dataValidation>
    <dataValidation type="whole" allowBlank="1" showInputMessage="1" showErrorMessage="1" sqref="H183">
      <formula1>0</formula1>
      <formula2>24999</formula2>
    </dataValidation>
  </dataValidations>
  <hyperlinks>
    <hyperlink ref="K125" r:id="rId1"/>
    <hyperlink ref="K258" r:id="rId2"/>
    <hyperlink ref="K259" r:id="rId3"/>
  </hyperlinks>
  <pageMargins left="0.25" right="0.25" top="0.25" bottom="0.25" header="0" footer="0"/>
  <pageSetup scale="46" orientation="portrait" horizontalDpi="1200" verticalDpi="1200"/>
  <headerFooter alignWithMargins="0"/>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307"/>
  <sheetViews>
    <sheetView zoomScale="75" zoomScaleNormal="75" zoomScalePageLayoutView="125" workbookViewId="0">
      <selection activeCell="H33" sqref="H33"/>
    </sheetView>
  </sheetViews>
  <sheetFormatPr defaultColWidth="8.88671875" defaultRowHeight="13.8" x14ac:dyDescent="0.25"/>
  <cols>
    <col min="1" max="1" width="26.33203125" style="3" customWidth="1"/>
    <col min="2" max="2" width="25.33203125" style="3" customWidth="1"/>
    <col min="3" max="3" width="14.88671875" style="867" customWidth="1"/>
    <col min="4" max="4" width="10.44140625" style="867" customWidth="1"/>
    <col min="5" max="5" width="12" style="867" customWidth="1"/>
    <col min="6" max="7" width="10.44140625" style="867" customWidth="1"/>
    <col min="8" max="8" width="16.33203125" style="867" customWidth="1"/>
    <col min="9" max="9" width="16.44140625" style="867" customWidth="1"/>
    <col min="10" max="10" width="18.6640625" style="867" customWidth="1"/>
    <col min="11" max="11" width="24.88671875" style="867" customWidth="1"/>
    <col min="12" max="12" width="8.6640625" style="13" hidden="1" customWidth="1"/>
    <col min="13" max="13" width="10.109375" style="13" hidden="1" customWidth="1"/>
    <col min="14" max="14" width="8" style="866" customWidth="1"/>
    <col min="15" max="15" width="9.44140625" style="866" customWidth="1"/>
    <col min="16" max="16" width="11.6640625" style="866" customWidth="1"/>
    <col min="17" max="17" width="1.44140625" style="866" customWidth="1"/>
    <col min="18" max="18" width="7.6640625" style="866" customWidth="1"/>
    <col min="19" max="19" width="7.44140625" style="866" hidden="1" customWidth="1"/>
    <col min="20" max="20" width="9.44140625" style="866" hidden="1" customWidth="1"/>
    <col min="21" max="21" width="8" style="866" customWidth="1"/>
    <col min="22" max="22" width="9.109375" style="866" customWidth="1"/>
    <col min="23" max="23" width="7.44140625" style="866" customWidth="1"/>
    <col min="24" max="24" width="2.88671875" style="866" customWidth="1"/>
    <col min="25" max="25" width="14.109375" style="866" customWidth="1"/>
    <col min="26" max="26" width="11.88671875" style="868" customWidth="1"/>
    <col min="27" max="27" width="10.88671875" style="868" customWidth="1"/>
    <col min="28" max="28" width="1.6640625" style="866" customWidth="1"/>
    <col min="29" max="29" width="13.109375" style="866" customWidth="1"/>
    <col min="30" max="30" width="12.44140625" style="868" customWidth="1"/>
    <col min="31" max="31" width="12.33203125" style="868" customWidth="1"/>
    <col min="32" max="32" width="1" style="866" customWidth="1"/>
    <col min="33" max="33" width="10.109375" style="866" hidden="1" customWidth="1"/>
    <col min="34" max="34" width="8.88671875" style="866" hidden="1" customWidth="1"/>
    <col min="35" max="35" width="1.44140625" style="866" hidden="1" customWidth="1"/>
    <col min="36" max="36" width="10" style="866" hidden="1" customWidth="1"/>
    <col min="37" max="37" width="9.88671875" style="866" hidden="1" customWidth="1"/>
    <col min="38" max="38" width="1" style="866" hidden="1" customWidth="1"/>
    <col min="39" max="39" width="11" style="866" hidden="1" customWidth="1"/>
    <col min="40" max="40" width="10.88671875" style="866" hidden="1" customWidth="1"/>
    <col min="41" max="41" width="11.88671875" style="866" hidden="1" customWidth="1"/>
    <col min="42" max="42" width="10.33203125" style="866" customWidth="1"/>
    <col min="43" max="43" width="8.88671875" style="866" customWidth="1"/>
    <col min="44" max="52" width="8.88671875" style="866"/>
    <col min="53" max="16384" width="8.88671875" style="867"/>
  </cols>
  <sheetData>
    <row r="1" spans="1:78" x14ac:dyDescent="0.25">
      <c r="A1" s="863" t="s">
        <v>411</v>
      </c>
      <c r="B1" s="864"/>
      <c r="C1" s="865"/>
      <c r="D1" s="865"/>
      <c r="E1" s="865"/>
      <c r="F1" s="865"/>
      <c r="G1" s="865"/>
      <c r="H1" s="865"/>
      <c r="I1" s="865"/>
      <c r="J1" s="865"/>
      <c r="K1" s="865"/>
      <c r="L1" s="866"/>
      <c r="M1" s="866"/>
      <c r="V1" s="867"/>
      <c r="X1" s="868"/>
      <c r="Y1" s="868"/>
      <c r="Z1" s="866"/>
      <c r="AA1" s="866"/>
      <c r="AB1" s="868"/>
      <c r="AC1" s="868"/>
      <c r="AD1" s="867"/>
      <c r="AE1" s="867"/>
      <c r="AF1" s="867"/>
      <c r="AG1" s="867"/>
      <c r="AH1" s="867"/>
      <c r="AI1" s="867"/>
      <c r="AJ1" s="867"/>
      <c r="AK1" s="129" t="e">
        <f>#REF!*#REF!</f>
        <v>#REF!</v>
      </c>
      <c r="AL1" s="129" t="e">
        <f>#REF!*#REF!</f>
        <v>#REF!</v>
      </c>
      <c r="AM1" s="129" t="e">
        <f>#REF!*#REF!</f>
        <v>#REF!</v>
      </c>
      <c r="BA1" s="869"/>
      <c r="BB1" s="869"/>
      <c r="BC1" s="869"/>
      <c r="BD1" s="869"/>
      <c r="BE1" s="869"/>
      <c r="BF1" s="869"/>
      <c r="BG1" s="869"/>
      <c r="BH1" s="869"/>
      <c r="BI1" s="869"/>
      <c r="BJ1" s="869"/>
      <c r="BK1" s="869"/>
      <c r="BL1" s="869"/>
      <c r="BM1" s="869"/>
      <c r="BN1" s="869"/>
      <c r="BO1" s="869"/>
      <c r="BP1" s="869"/>
      <c r="BQ1" s="869"/>
      <c r="BR1" s="869"/>
      <c r="BS1" s="869"/>
      <c r="BT1" s="869"/>
      <c r="BU1" s="869"/>
      <c r="BV1" s="869"/>
      <c r="BW1" s="869"/>
      <c r="BX1" s="869"/>
      <c r="BY1" s="869"/>
      <c r="BZ1" s="869"/>
    </row>
    <row r="2" spans="1:78" ht="14.4" x14ac:dyDescent="0.25">
      <c r="A2" s="885" t="s">
        <v>418</v>
      </c>
      <c r="B2" s="871"/>
      <c r="C2" s="872"/>
      <c r="D2" s="872"/>
      <c r="E2" s="872"/>
      <c r="F2" s="872"/>
      <c r="G2" s="872"/>
      <c r="H2" s="872"/>
      <c r="I2" s="872"/>
      <c r="J2" s="872"/>
      <c r="K2" s="872"/>
      <c r="L2" s="867"/>
      <c r="M2" s="867"/>
      <c r="N2" s="867"/>
      <c r="O2" s="867"/>
      <c r="P2" s="867"/>
      <c r="Q2" s="867"/>
      <c r="R2" s="867"/>
      <c r="S2" s="867"/>
      <c r="T2" s="867"/>
      <c r="U2" s="867"/>
      <c r="V2" s="867"/>
      <c r="W2" s="867"/>
      <c r="X2" s="873"/>
      <c r="Y2" s="873"/>
      <c r="Z2" s="867"/>
      <c r="AA2" s="867"/>
      <c r="AB2" s="873"/>
      <c r="AC2" s="873"/>
      <c r="AD2" s="867"/>
      <c r="AE2" s="867"/>
      <c r="AF2" s="867"/>
      <c r="AG2" s="867"/>
      <c r="AH2" s="867"/>
      <c r="AI2" s="867"/>
      <c r="AJ2" s="867"/>
      <c r="AK2" s="867"/>
      <c r="AL2" s="867"/>
      <c r="AM2" s="867"/>
      <c r="BA2" s="869"/>
      <c r="BB2" s="869"/>
      <c r="BC2" s="869"/>
      <c r="BD2" s="869"/>
      <c r="BE2" s="869"/>
      <c r="BF2" s="869"/>
      <c r="BG2" s="869"/>
      <c r="BH2" s="869"/>
      <c r="BI2" s="869"/>
      <c r="BJ2" s="869"/>
      <c r="BK2" s="869"/>
      <c r="BL2" s="869"/>
      <c r="BM2" s="869"/>
      <c r="BN2" s="869"/>
      <c r="BO2" s="869"/>
      <c r="BP2" s="869"/>
      <c r="BQ2" s="869"/>
      <c r="BR2" s="869"/>
      <c r="BS2" s="869"/>
      <c r="BT2" s="869"/>
      <c r="BU2" s="869"/>
      <c r="BV2" s="869"/>
      <c r="BW2" s="869"/>
      <c r="BX2" s="869"/>
      <c r="BY2" s="869"/>
      <c r="BZ2" s="869"/>
    </row>
    <row r="3" spans="1:78" ht="14.4" x14ac:dyDescent="0.25">
      <c r="A3" s="885" t="s">
        <v>413</v>
      </c>
      <c r="B3" s="871"/>
      <c r="C3" s="872"/>
      <c r="D3" s="872"/>
      <c r="E3" s="872"/>
      <c r="F3" s="872"/>
      <c r="G3" s="872"/>
      <c r="H3" s="872"/>
      <c r="I3" s="872"/>
      <c r="J3" s="872"/>
      <c r="K3" s="872"/>
      <c r="L3" s="867"/>
      <c r="M3" s="867"/>
      <c r="N3" s="867"/>
      <c r="O3" s="867"/>
      <c r="P3" s="867"/>
      <c r="Q3" s="867"/>
      <c r="R3" s="867"/>
      <c r="S3" s="867"/>
      <c r="T3" s="867"/>
      <c r="U3" s="867"/>
      <c r="V3" s="867"/>
      <c r="W3" s="867"/>
      <c r="X3" s="873"/>
      <c r="Y3" s="873"/>
      <c r="Z3" s="867"/>
      <c r="AA3" s="867"/>
      <c r="AB3" s="873"/>
      <c r="AC3" s="873"/>
      <c r="AD3" s="867"/>
      <c r="AE3" s="867"/>
      <c r="AF3" s="867"/>
      <c r="AG3" s="867"/>
      <c r="AH3" s="867"/>
      <c r="AI3" s="867"/>
      <c r="AJ3" s="867"/>
      <c r="AK3" s="867"/>
      <c r="AL3" s="867"/>
      <c r="AM3" s="867"/>
      <c r="BA3" s="869"/>
      <c r="BB3" s="869"/>
      <c r="BC3" s="869"/>
      <c r="BD3" s="869"/>
      <c r="BE3" s="869"/>
      <c r="BF3" s="869"/>
      <c r="BG3" s="869"/>
      <c r="BH3" s="869"/>
      <c r="BI3" s="869"/>
      <c r="BJ3" s="869"/>
      <c r="BK3" s="869"/>
      <c r="BL3" s="869"/>
      <c r="BM3" s="869"/>
      <c r="BN3" s="869"/>
      <c r="BO3" s="869"/>
      <c r="BP3" s="869"/>
      <c r="BQ3" s="869"/>
      <c r="BR3" s="869"/>
      <c r="BS3" s="869"/>
      <c r="BT3" s="869"/>
      <c r="BU3" s="869"/>
      <c r="BV3" s="869"/>
      <c r="BW3" s="869"/>
      <c r="BX3" s="869"/>
      <c r="BY3" s="869"/>
      <c r="BZ3" s="869"/>
    </row>
    <row r="4" spans="1:78" ht="14.4" x14ac:dyDescent="0.25">
      <c r="A4" s="885" t="s">
        <v>442</v>
      </c>
      <c r="B4" s="871"/>
      <c r="C4" s="872"/>
      <c r="D4" s="872"/>
      <c r="E4" s="872"/>
      <c r="F4" s="872"/>
      <c r="G4" s="872"/>
      <c r="H4" s="872"/>
      <c r="I4" s="872"/>
      <c r="J4" s="872"/>
      <c r="K4" s="872"/>
      <c r="L4" s="867"/>
      <c r="M4" s="867"/>
      <c r="N4" s="867"/>
      <c r="O4" s="867"/>
      <c r="P4" s="867"/>
      <c r="Q4" s="867"/>
      <c r="R4" s="867"/>
      <c r="S4" s="867"/>
      <c r="T4" s="867"/>
      <c r="U4" s="867"/>
      <c r="V4" s="867"/>
      <c r="W4" s="867"/>
      <c r="X4" s="873"/>
      <c r="Y4" s="873"/>
      <c r="Z4" s="867"/>
      <c r="AA4" s="867"/>
      <c r="AB4" s="873"/>
      <c r="AC4" s="873"/>
      <c r="AD4" s="867"/>
      <c r="AE4" s="867"/>
      <c r="AF4" s="867"/>
      <c r="AG4" s="867"/>
      <c r="AH4" s="867"/>
      <c r="AI4" s="867"/>
      <c r="AJ4" s="867"/>
      <c r="AK4" s="867"/>
      <c r="AL4" s="867"/>
      <c r="AM4" s="867"/>
      <c r="BA4" s="869"/>
      <c r="BB4" s="869"/>
      <c r="BC4" s="869"/>
      <c r="BD4" s="869"/>
      <c r="BE4" s="869"/>
      <c r="BF4" s="869"/>
      <c r="BG4" s="869"/>
      <c r="BH4" s="869"/>
      <c r="BI4" s="869"/>
      <c r="BJ4" s="869"/>
      <c r="BK4" s="869"/>
      <c r="BL4" s="869"/>
      <c r="BM4" s="869"/>
      <c r="BN4" s="869"/>
      <c r="BO4" s="869"/>
      <c r="BP4" s="869"/>
      <c r="BQ4" s="869"/>
      <c r="BR4" s="869"/>
      <c r="BS4" s="869"/>
      <c r="BT4" s="869"/>
      <c r="BU4" s="869"/>
      <c r="BV4" s="869"/>
      <c r="BW4" s="869"/>
      <c r="BX4" s="869"/>
      <c r="BY4" s="869"/>
      <c r="BZ4" s="869"/>
    </row>
    <row r="5" spans="1:78" ht="14.4" x14ac:dyDescent="0.25">
      <c r="A5" s="870" t="s">
        <v>443</v>
      </c>
      <c r="B5" s="871"/>
      <c r="C5" s="872"/>
      <c r="D5" s="872"/>
      <c r="E5" s="872"/>
      <c r="F5" s="872"/>
      <c r="G5" s="872"/>
      <c r="H5" s="872"/>
      <c r="I5" s="872"/>
      <c r="J5" s="872"/>
      <c r="K5" s="872"/>
      <c r="L5" s="867"/>
      <c r="M5" s="867"/>
      <c r="N5" s="867"/>
      <c r="O5" s="867"/>
      <c r="P5" s="867"/>
      <c r="Q5" s="867"/>
      <c r="R5" s="867"/>
      <c r="S5" s="867"/>
      <c r="T5" s="867"/>
      <c r="U5" s="867"/>
      <c r="V5" s="867"/>
      <c r="W5" s="867"/>
      <c r="X5" s="873"/>
      <c r="Y5" s="873"/>
      <c r="Z5" s="867"/>
      <c r="AA5" s="867"/>
      <c r="AB5" s="873"/>
      <c r="AC5" s="873"/>
      <c r="AD5" s="867"/>
      <c r="AE5" s="867"/>
      <c r="AF5" s="867"/>
      <c r="AG5" s="867"/>
      <c r="AH5" s="867"/>
      <c r="AI5" s="867"/>
      <c r="AJ5" s="867"/>
      <c r="AK5" s="867"/>
      <c r="AL5" s="867"/>
      <c r="AM5" s="867"/>
      <c r="BA5" s="869"/>
      <c r="BB5" s="869"/>
      <c r="BC5" s="869"/>
      <c r="BD5" s="869"/>
      <c r="BE5" s="869"/>
      <c r="BF5" s="869"/>
      <c r="BG5" s="869"/>
      <c r="BH5" s="869"/>
      <c r="BI5" s="869"/>
      <c r="BJ5" s="869"/>
      <c r="BK5" s="869"/>
      <c r="BL5" s="869"/>
      <c r="BM5" s="869"/>
      <c r="BN5" s="869"/>
      <c r="BO5" s="869"/>
      <c r="BP5" s="869"/>
      <c r="BQ5" s="869"/>
      <c r="BR5" s="869"/>
      <c r="BS5" s="869"/>
      <c r="BT5" s="869"/>
      <c r="BU5" s="869"/>
      <c r="BV5" s="869"/>
      <c r="BW5" s="869"/>
      <c r="BX5" s="869"/>
      <c r="BY5" s="869"/>
      <c r="BZ5" s="869"/>
    </row>
    <row r="6" spans="1:78" ht="16.5" customHeight="1" x14ac:dyDescent="0.25">
      <c r="A6" s="307"/>
      <c r="B6" s="283"/>
      <c r="C6" s="283"/>
      <c r="D6" s="283" t="s">
        <v>57</v>
      </c>
      <c r="E6" s="283"/>
      <c r="F6" s="283"/>
      <c r="G6" s="283"/>
      <c r="H6" s="283"/>
      <c r="I6" s="283"/>
      <c r="J6" s="283"/>
      <c r="K6" s="284"/>
      <c r="L6" s="176"/>
      <c r="M6" s="176"/>
    </row>
    <row r="7" spans="1:78" ht="6.75" customHeight="1" x14ac:dyDescent="0.25">
      <c r="A7" s="657"/>
      <c r="B7" s="658"/>
      <c r="C7" s="244"/>
      <c r="D7" s="244"/>
      <c r="E7" s="244"/>
      <c r="F7" s="244"/>
      <c r="G7" s="244"/>
      <c r="H7" s="244"/>
      <c r="I7" s="244"/>
      <c r="J7" s="244"/>
      <c r="K7" s="245"/>
      <c r="L7" s="57"/>
      <c r="M7" s="57"/>
    </row>
    <row r="8" spans="1:78" ht="16.5" customHeight="1" x14ac:dyDescent="0.25">
      <c r="A8" s="305" t="s">
        <v>37</v>
      </c>
      <c r="B8" s="219" t="str">
        <f>'Y1'!B8</f>
        <v>enter PI name in this cell on Y1 tab</v>
      </c>
      <c r="C8" s="280"/>
      <c r="D8" s="246"/>
      <c r="E8" s="246"/>
      <c r="F8" s="246"/>
      <c r="G8" s="246"/>
      <c r="H8" s="246"/>
      <c r="I8" s="246"/>
      <c r="J8" s="246"/>
      <c r="K8" s="899" t="s">
        <v>450</v>
      </c>
      <c r="L8" s="57"/>
      <c r="M8" s="57"/>
    </row>
    <row r="9" spans="1:78" ht="16.5" customHeight="1" x14ac:dyDescent="0.25">
      <c r="A9" s="305" t="s">
        <v>38</v>
      </c>
      <c r="B9" s="219" t="str">
        <f>'Y1'!B9</f>
        <v>enter funding agency name in this cell on Y1 tab</v>
      </c>
      <c r="C9" s="280"/>
      <c r="D9" s="246"/>
      <c r="E9" s="246"/>
      <c r="F9" s="246"/>
      <c r="G9" s="246"/>
      <c r="H9" s="246"/>
      <c r="I9" s="246"/>
      <c r="J9" s="246"/>
      <c r="K9" s="285"/>
      <c r="L9" s="57"/>
      <c r="M9" s="57"/>
    </row>
    <row r="10" spans="1:78" s="904" customFormat="1" ht="16.5" customHeight="1" x14ac:dyDescent="0.25">
      <c r="A10" s="305" t="s">
        <v>39</v>
      </c>
      <c r="B10" s="219" t="str">
        <f>'Y1'!B10</f>
        <v>enter project title in this cell on Y1 tab</v>
      </c>
      <c r="C10" s="280"/>
      <c r="D10" s="275"/>
      <c r="E10" s="275"/>
      <c r="F10" s="275"/>
      <c r="G10" s="275"/>
      <c r="H10" s="275"/>
      <c r="I10" s="275"/>
      <c r="J10" s="275"/>
      <c r="K10" s="286"/>
      <c r="L10" s="19"/>
      <c r="M10" s="19"/>
      <c r="N10" s="912"/>
      <c r="O10" s="912"/>
      <c r="P10" s="912"/>
      <c r="Q10" s="912"/>
      <c r="R10" s="912"/>
      <c r="S10" s="912"/>
      <c r="T10" s="912"/>
      <c r="U10" s="912"/>
      <c r="V10" s="912"/>
      <c r="W10" s="912"/>
      <c r="X10" s="912"/>
      <c r="Y10" s="912"/>
      <c r="Z10" s="911"/>
      <c r="AA10" s="911"/>
      <c r="AB10" s="912"/>
      <c r="AC10" s="912"/>
      <c r="AD10" s="911"/>
      <c r="AE10" s="911"/>
      <c r="AF10" s="912"/>
      <c r="AG10" s="912"/>
      <c r="AH10" s="912"/>
      <c r="AI10" s="912"/>
      <c r="AJ10" s="912"/>
      <c r="AK10" s="912"/>
      <c r="AL10" s="912"/>
      <c r="AM10" s="912"/>
      <c r="AN10" s="912"/>
      <c r="AO10" s="912"/>
      <c r="AP10" s="912"/>
      <c r="AQ10" s="912"/>
      <c r="AR10" s="912"/>
      <c r="AS10" s="912"/>
      <c r="AT10" s="912"/>
      <c r="AU10" s="912"/>
      <c r="AV10" s="912"/>
      <c r="AW10" s="912"/>
      <c r="AX10" s="912"/>
      <c r="AY10" s="912"/>
      <c r="AZ10" s="912"/>
    </row>
    <row r="11" spans="1:78" s="904" customFormat="1" ht="16.5" customHeight="1" x14ac:dyDescent="0.25">
      <c r="A11" s="306" t="s">
        <v>40</v>
      </c>
      <c r="B11" s="304" t="s">
        <v>296</v>
      </c>
      <c r="C11" s="280"/>
      <c r="D11" s="275"/>
      <c r="E11" s="275"/>
      <c r="F11" s="275"/>
      <c r="G11" s="275"/>
      <c r="H11" s="275"/>
      <c r="I11" s="275"/>
      <c r="J11" s="275"/>
      <c r="K11" s="286"/>
      <c r="L11" s="19"/>
      <c r="M11" s="19"/>
      <c r="N11" s="912"/>
      <c r="O11" s="912"/>
      <c r="P11" s="912"/>
      <c r="Q11" s="912"/>
      <c r="R11" s="912"/>
      <c r="S11" s="912"/>
      <c r="T11" s="912"/>
      <c r="U11" s="912"/>
      <c r="V11" s="912"/>
      <c r="W11" s="912"/>
      <c r="X11" s="912"/>
      <c r="Y11" s="912"/>
      <c r="Z11" s="911"/>
      <c r="AA11" s="911"/>
      <c r="AB11" s="912"/>
      <c r="AC11" s="912"/>
      <c r="AD11" s="911"/>
      <c r="AE11" s="911"/>
      <c r="AF11" s="912"/>
      <c r="AG11" s="912"/>
      <c r="AH11" s="912"/>
      <c r="AI11" s="912"/>
      <c r="AJ11" s="912"/>
      <c r="AK11" s="912"/>
      <c r="AL11" s="912"/>
      <c r="AM11" s="912"/>
      <c r="AN11" s="912"/>
      <c r="AO11" s="912"/>
      <c r="AP11" s="912"/>
      <c r="AQ11" s="912"/>
      <c r="AR11" s="912"/>
      <c r="AS11" s="912"/>
      <c r="AT11" s="912"/>
      <c r="AU11" s="912"/>
      <c r="AV11" s="912"/>
      <c r="AW11" s="912"/>
      <c r="AX11" s="912"/>
      <c r="AY11" s="912"/>
      <c r="AZ11" s="912"/>
    </row>
    <row r="12" spans="1:78" s="904" customFormat="1" ht="16.5" customHeight="1" x14ac:dyDescent="0.25">
      <c r="A12" s="306" t="s">
        <v>41</v>
      </c>
      <c r="B12" s="219" t="str">
        <f>'Y1'!M8</f>
        <v>enter GCO # in this cell on Y1 tab</v>
      </c>
      <c r="C12" s="280"/>
      <c r="D12" s="275"/>
      <c r="E12" s="275"/>
      <c r="F12" s="275"/>
      <c r="G12" s="275"/>
      <c r="H12" s="275"/>
      <c r="I12" s="275"/>
      <c r="J12" s="275"/>
      <c r="K12" s="286"/>
      <c r="L12" s="19"/>
      <c r="M12" s="19"/>
      <c r="N12" s="912"/>
      <c r="O12" s="912"/>
      <c r="P12" s="912"/>
      <c r="Q12" s="912"/>
      <c r="R12" s="912"/>
      <c r="S12" s="912"/>
      <c r="T12" s="912"/>
      <c r="U12" s="912"/>
      <c r="V12" s="912"/>
      <c r="W12" s="912"/>
      <c r="X12" s="912"/>
      <c r="Y12" s="912"/>
      <c r="Z12" s="911"/>
      <c r="AA12" s="911"/>
      <c r="AB12" s="912"/>
      <c r="AC12" s="912"/>
      <c r="AD12" s="911"/>
      <c r="AE12" s="911"/>
      <c r="AF12" s="912"/>
      <c r="AG12" s="912"/>
      <c r="AH12" s="912"/>
      <c r="AI12" s="912"/>
      <c r="AJ12" s="912"/>
      <c r="AK12" s="912"/>
      <c r="AL12" s="912"/>
      <c r="AM12" s="912"/>
      <c r="AN12" s="912"/>
      <c r="AO12" s="912"/>
      <c r="AP12" s="912"/>
      <c r="AQ12" s="912"/>
      <c r="AR12" s="912"/>
      <c r="AS12" s="912"/>
      <c r="AT12" s="912"/>
      <c r="AU12" s="912"/>
      <c r="AV12" s="912"/>
      <c r="AW12" s="912"/>
      <c r="AX12" s="912"/>
      <c r="AY12" s="912"/>
      <c r="AZ12" s="912"/>
    </row>
    <row r="13" spans="1:78" s="904" customFormat="1" ht="16.5" customHeight="1" x14ac:dyDescent="0.25">
      <c r="A13" s="306" t="s">
        <v>42</v>
      </c>
      <c r="B13" s="219" t="str">
        <f>'Y1'!M9</f>
        <v>enter fund # in this cell on Y1 tab</v>
      </c>
      <c r="C13" s="280"/>
      <c r="D13" s="275"/>
      <c r="E13" s="275"/>
      <c r="F13" s="275"/>
      <c r="G13" s="275"/>
      <c r="H13" s="275"/>
      <c r="I13" s="275"/>
      <c r="J13" s="275"/>
      <c r="K13" s="286"/>
      <c r="L13" s="19"/>
      <c r="M13" s="19"/>
      <c r="N13" s="1509" t="s">
        <v>145</v>
      </c>
      <c r="O13" s="1510"/>
      <c r="P13" s="1511"/>
      <c r="Q13" s="912"/>
      <c r="R13" s="1512" t="s">
        <v>147</v>
      </c>
      <c r="S13" s="1513"/>
      <c r="T13" s="1513"/>
      <c r="U13" s="1513"/>
      <c r="V13" s="1513"/>
      <c r="W13" s="1514"/>
      <c r="X13" s="232"/>
      <c r="Y13" s="267"/>
      <c r="Z13" s="268"/>
      <c r="AA13" s="268"/>
      <c r="AB13" s="269"/>
      <c r="AC13" s="269"/>
      <c r="AD13" s="268"/>
      <c r="AE13" s="270"/>
      <c r="AF13" s="912"/>
      <c r="AG13" s="912"/>
      <c r="AH13" s="912"/>
      <c r="AI13" s="912"/>
      <c r="AJ13" s="912"/>
      <c r="AK13" s="912"/>
      <c r="AL13" s="912"/>
      <c r="AM13" s="912"/>
      <c r="AN13" s="912"/>
      <c r="AO13" s="912"/>
      <c r="AP13" s="912"/>
      <c r="AQ13" s="912"/>
      <c r="AR13" s="912"/>
      <c r="AS13" s="912"/>
      <c r="AT13" s="912"/>
      <c r="AU13" s="912"/>
      <c r="AV13" s="912"/>
      <c r="AW13" s="912"/>
      <c r="AX13" s="912"/>
      <c r="AY13" s="912"/>
      <c r="AZ13" s="912"/>
    </row>
    <row r="14" spans="1:78" s="904" customFormat="1" ht="16.5" customHeight="1" x14ac:dyDescent="0.25">
      <c r="A14" s="306" t="s">
        <v>43</v>
      </c>
      <c r="B14" s="219" t="str">
        <f>'Y1'!M10</f>
        <v>enter agency # in this cell on Y1 tab</v>
      </c>
      <c r="C14" s="281"/>
      <c r="D14" s="275"/>
      <c r="E14" s="275"/>
      <c r="F14" s="275"/>
      <c r="G14" s="275"/>
      <c r="H14" s="275"/>
      <c r="I14" s="275"/>
      <c r="J14" s="275"/>
      <c r="K14" s="286"/>
      <c r="L14" s="19"/>
      <c r="M14" s="19"/>
      <c r="N14" s="233"/>
      <c r="O14" s="1557" t="s">
        <v>195</v>
      </c>
      <c r="P14" s="234"/>
      <c r="Q14" s="912"/>
      <c r="R14" s="235"/>
      <c r="S14" s="236"/>
      <c r="T14" s="237"/>
      <c r="U14" s="1499" t="s">
        <v>154</v>
      </c>
      <c r="V14" s="1499" t="s">
        <v>155</v>
      </c>
      <c r="W14" s="238"/>
      <c r="X14" s="239"/>
      <c r="Y14" s="1479" t="s">
        <v>162</v>
      </c>
      <c r="Z14" s="1480"/>
      <c r="AA14" s="1480"/>
      <c r="AB14" s="1480"/>
      <c r="AC14" s="1480"/>
      <c r="AD14" s="1480"/>
      <c r="AE14" s="1481"/>
      <c r="AF14" s="912"/>
      <c r="AG14" s="1580" t="s">
        <v>187</v>
      </c>
      <c r="AH14" s="1580"/>
      <c r="AI14" s="866"/>
      <c r="AJ14" s="1580" t="s">
        <v>187</v>
      </c>
      <c r="AK14" s="1580"/>
      <c r="AL14" s="866"/>
      <c r="AM14" s="1581" t="s">
        <v>187</v>
      </c>
      <c r="AN14" s="1581"/>
      <c r="AO14" s="866"/>
      <c r="AP14" s="912"/>
      <c r="AQ14" s="912"/>
      <c r="AR14" s="912"/>
      <c r="AS14" s="912"/>
      <c r="AT14" s="912"/>
      <c r="AU14" s="912"/>
      <c r="AV14" s="912"/>
      <c r="AW14" s="912"/>
      <c r="AX14" s="912"/>
      <c r="AY14" s="912"/>
      <c r="AZ14" s="912"/>
    </row>
    <row r="15" spans="1:78" s="904" customFormat="1" ht="16.5" customHeight="1" x14ac:dyDescent="0.3">
      <c r="A15" s="305" t="s">
        <v>105</v>
      </c>
      <c r="B15" s="275" t="s">
        <v>11</v>
      </c>
      <c r="C15" s="282"/>
      <c r="D15" s="275"/>
      <c r="E15" s="275"/>
      <c r="F15" s="275"/>
      <c r="G15" s="275"/>
      <c r="H15" s="275"/>
      <c r="I15" s="1508" t="s">
        <v>44</v>
      </c>
      <c r="J15" s="1508"/>
      <c r="K15" s="1515"/>
      <c r="L15" s="19"/>
      <c r="M15" s="19"/>
      <c r="N15" s="233"/>
      <c r="O15" s="1557"/>
      <c r="P15" s="234"/>
      <c r="Q15" s="912"/>
      <c r="R15" s="1553" t="s">
        <v>148</v>
      </c>
      <c r="S15" s="1499" t="s">
        <v>151</v>
      </c>
      <c r="T15" s="1499" t="s">
        <v>152</v>
      </c>
      <c r="U15" s="1499"/>
      <c r="V15" s="1499"/>
      <c r="W15" s="238"/>
      <c r="X15" s="239"/>
      <c r="Y15" s="1479"/>
      <c r="Z15" s="1480"/>
      <c r="AA15" s="1480"/>
      <c r="AB15" s="1480"/>
      <c r="AC15" s="1480"/>
      <c r="AD15" s="1480"/>
      <c r="AE15" s="1481"/>
      <c r="AF15" s="912"/>
      <c r="AG15" s="701" t="s">
        <v>157</v>
      </c>
      <c r="AH15" s="701" t="s">
        <v>158</v>
      </c>
      <c r="AI15" s="262"/>
      <c r="AJ15" s="701" t="s">
        <v>157</v>
      </c>
      <c r="AK15" s="701" t="s">
        <v>158</v>
      </c>
      <c r="AL15" s="866"/>
      <c r="AM15" s="701" t="s">
        <v>157</v>
      </c>
      <c r="AN15" s="701" t="s">
        <v>158</v>
      </c>
      <c r="AO15" s="912" t="s">
        <v>4</v>
      </c>
      <c r="AP15" s="912"/>
      <c r="AQ15" s="912"/>
      <c r="AR15" s="912"/>
      <c r="AS15" s="912"/>
      <c r="AT15" s="912"/>
      <c r="AU15" s="912"/>
      <c r="AV15" s="912"/>
      <c r="AW15" s="912"/>
      <c r="AX15" s="912"/>
      <c r="AY15" s="912"/>
      <c r="AZ15" s="912"/>
    </row>
    <row r="16" spans="1:78" ht="16.5" customHeight="1" x14ac:dyDescent="0.25">
      <c r="A16" s="866"/>
      <c r="B16" s="529"/>
      <c r="C16" s="262"/>
      <c r="D16" s="262"/>
      <c r="E16" s="262"/>
      <c r="F16" s="262"/>
      <c r="G16" s="262"/>
      <c r="H16" s="262"/>
      <c r="I16" s="661" t="s">
        <v>22</v>
      </c>
      <c r="J16" s="661"/>
      <c r="K16" s="900">
        <v>0.28000000000000003</v>
      </c>
      <c r="L16" s="177"/>
      <c r="M16" s="177"/>
      <c r="N16" s="1555" t="s">
        <v>141</v>
      </c>
      <c r="O16" s="1557"/>
      <c r="P16" s="240"/>
      <c r="R16" s="1553"/>
      <c r="S16" s="1499"/>
      <c r="T16" s="1499"/>
      <c r="U16" s="1499"/>
      <c r="V16" s="1499"/>
      <c r="W16" s="238"/>
      <c r="X16" s="239"/>
      <c r="Y16" s="271"/>
      <c r="Z16" s="272"/>
      <c r="AA16" s="272"/>
      <c r="AB16" s="262"/>
      <c r="AC16" s="262"/>
      <c r="AD16" s="272"/>
      <c r="AE16" s="273"/>
    </row>
    <row r="17" spans="1:41" ht="16.5" customHeight="1" x14ac:dyDescent="0.25">
      <c r="A17" s="604" t="s">
        <v>28</v>
      </c>
      <c r="B17" s="605"/>
      <c r="C17" s="329"/>
      <c r="D17" s="329"/>
      <c r="E17" s="329"/>
      <c r="F17" s="329"/>
      <c r="G17" s="329"/>
      <c r="H17" s="329"/>
      <c r="I17" s="663" t="s">
        <v>21</v>
      </c>
      <c r="J17" s="663"/>
      <c r="K17" s="664">
        <v>0.28999999999999998</v>
      </c>
      <c r="L17" s="177"/>
      <c r="M17" s="177"/>
      <c r="N17" s="1555"/>
      <c r="O17" s="1557"/>
      <c r="P17" s="240"/>
      <c r="R17" s="1553"/>
      <c r="S17" s="1499"/>
      <c r="T17" s="1499"/>
      <c r="U17" s="1499"/>
      <c r="V17" s="1499"/>
      <c r="W17" s="238"/>
      <c r="X17" s="239"/>
      <c r="Y17" s="274"/>
      <c r="Z17" s="272"/>
      <c r="AA17" s="275" t="s">
        <v>31</v>
      </c>
      <c r="AB17" s="262"/>
      <c r="AC17" s="275" t="s">
        <v>185</v>
      </c>
      <c r="AD17" s="272" t="s">
        <v>203</v>
      </c>
      <c r="AE17" s="273" t="s">
        <v>204</v>
      </c>
      <c r="AG17" s="275" t="s">
        <v>31</v>
      </c>
    </row>
    <row r="18" spans="1:41" ht="16.5" customHeight="1" x14ac:dyDescent="0.25">
      <c r="A18" s="341" t="s">
        <v>5</v>
      </c>
      <c r="B18" s="529"/>
      <c r="C18" s="331"/>
      <c r="D18" s="1559" t="s">
        <v>143</v>
      </c>
      <c r="E18" s="1559"/>
      <c r="F18" s="1559" t="s">
        <v>144</v>
      </c>
      <c r="G18" s="1559"/>
      <c r="H18" s="262"/>
      <c r="I18" s="866"/>
      <c r="J18" s="866"/>
      <c r="K18" s="332" t="s">
        <v>160</v>
      </c>
      <c r="L18" s="178"/>
      <c r="M18" s="178"/>
      <c r="N18" s="1556"/>
      <c r="O18" s="1558"/>
      <c r="P18" s="241" t="s">
        <v>131</v>
      </c>
      <c r="R18" s="1554"/>
      <c r="S18" s="1500"/>
      <c r="T18" s="1500"/>
      <c r="U18" s="1500"/>
      <c r="V18" s="1500"/>
      <c r="W18" s="242"/>
      <c r="X18" s="239"/>
      <c r="Y18" s="274"/>
      <c r="Z18" s="276"/>
      <c r="AA18" s="276"/>
      <c r="AB18" s="277" t="s">
        <v>36</v>
      </c>
      <c r="AC18" s="275" t="s">
        <v>186</v>
      </c>
      <c r="AD18" s="278" t="s">
        <v>136</v>
      </c>
      <c r="AE18" s="279" t="s">
        <v>137</v>
      </c>
    </row>
    <row r="19" spans="1:41" ht="30" customHeight="1" thickBot="1" x14ac:dyDescent="0.3">
      <c r="A19" s="606" t="s">
        <v>36</v>
      </c>
      <c r="B19" s="607" t="s">
        <v>25</v>
      </c>
      <c r="C19" s="333" t="s">
        <v>27</v>
      </c>
      <c r="D19" s="333" t="s">
        <v>6</v>
      </c>
      <c r="E19" s="333" t="s">
        <v>20</v>
      </c>
      <c r="F19" s="333" t="s">
        <v>6</v>
      </c>
      <c r="G19" s="333" t="s">
        <v>20</v>
      </c>
      <c r="H19" s="334" t="s">
        <v>7</v>
      </c>
      <c r="I19" s="334" t="s">
        <v>54</v>
      </c>
      <c r="J19" s="334" t="s">
        <v>55</v>
      </c>
      <c r="K19" s="335" t="s">
        <v>8</v>
      </c>
      <c r="L19" s="179"/>
      <c r="M19" s="179"/>
      <c r="N19" s="243"/>
      <c r="O19" s="244"/>
      <c r="P19" s="245"/>
      <c r="R19" s="243"/>
      <c r="S19" s="244"/>
      <c r="T19" s="244"/>
      <c r="U19" s="244"/>
      <c r="V19" s="244"/>
      <c r="W19" s="245"/>
      <c r="X19" s="246"/>
      <c r="Y19" s="488"/>
      <c r="Z19" s="489"/>
      <c r="AA19" s="490"/>
      <c r="AB19" s="491"/>
      <c r="AC19" s="1465" t="s">
        <v>160</v>
      </c>
      <c r="AD19" s="1465"/>
      <c r="AE19" s="1466"/>
      <c r="AG19" s="1464" t="s">
        <v>159</v>
      </c>
      <c r="AH19" s="1464"/>
      <c r="AJ19" s="1466" t="s">
        <v>160</v>
      </c>
      <c r="AK19" s="1466"/>
      <c r="AM19" s="1507" t="s">
        <v>161</v>
      </c>
      <c r="AN19" s="1507"/>
      <c r="AO19" s="1507"/>
    </row>
    <row r="20" spans="1:41" ht="16.5" customHeight="1" thickTop="1" thickBot="1" x14ac:dyDescent="0.3">
      <c r="A20" s="910"/>
      <c r="B20" s="226"/>
      <c r="C20" s="227"/>
      <c r="D20" s="875"/>
      <c r="E20" s="224">
        <f t="shared" ref="E20:E27" si="0">D20*12</f>
        <v>0</v>
      </c>
      <c r="F20" s="223" t="str">
        <f t="shared" ref="F20:F27" si="1">IF(N20=12, "n/a ", IF(AND(N20&lt;12, O20="Yes"), "n/a", D20*P20))</f>
        <v xml:space="preserve">n/a </v>
      </c>
      <c r="G20" s="224" t="str">
        <f t="shared" ref="G20:G27" si="2">IF(N20=12,"n/a",IF(AND(N20&lt;12,O20="Yes"),"n/a",F20*12))</f>
        <v>n/a</v>
      </c>
      <c r="H20" s="398">
        <f>IF(AND(E113="Yes",C20&gt;F123),F123*D20*P20,IF(AND(N20=12,R20="Yes"),C20*U20,IF(AND(N20&lt;12,R20="Yes"),C20*P20*U20,C20*D20*P20)))</f>
        <v>0</v>
      </c>
      <c r="I20" s="223">
        <f t="shared" ref="I20:I27" si="3">IF(AND($C$283="No",$I$225="No"),$J$226,IF(AND($C$283="No",$I$225="Yes"),$K$17,$K$16))</f>
        <v>0.28000000000000003</v>
      </c>
      <c r="J20" s="398">
        <f t="shared" ref="J20:J27" si="4">H20*I20</f>
        <v>0</v>
      </c>
      <c r="K20" s="513">
        <f t="shared" ref="K20:K27" si="5">H20+J20</f>
        <v>0</v>
      </c>
      <c r="L20" s="25"/>
      <c r="M20" s="25"/>
      <c r="N20" s="836">
        <v>12</v>
      </c>
      <c r="O20" s="876" t="s">
        <v>60</v>
      </c>
      <c r="P20" s="637">
        <f t="shared" ref="P20:P27" si="6">N20/12</f>
        <v>1</v>
      </c>
      <c r="R20" s="877" t="s">
        <v>60</v>
      </c>
      <c r="S20" s="248" t="str">
        <f t="shared" ref="S20:S27" si="7">IF(R20="No", " ", U20/D20)</f>
        <v xml:space="preserve"> </v>
      </c>
      <c r="T20" s="249" t="str">
        <f>IF(R20="No", " ", 1-S20)</f>
        <v xml:space="preserve"> </v>
      </c>
      <c r="U20" s="846"/>
      <c r="V20" s="254" t="str">
        <f>IF(AND(N20=12,R20="Yes"),D20-U20,IF(AND(N20&lt;12,R20="Yes"),F20-U20," "))</f>
        <v xml:space="preserve"> </v>
      </c>
      <c r="W20" s="255" t="str">
        <f>IF(AND(N20=12,R20="Yes",U20&gt;D20),"ERROR",IF(AND(N20&lt;12,R20="Yes",U20&gt;F20),"ERROR"," "))</f>
        <v xml:space="preserve"> </v>
      </c>
      <c r="X20" s="697"/>
      <c r="Y20" s="258"/>
      <c r="Z20" s="259"/>
      <c r="AA20" s="259"/>
      <c r="AB20" s="302">
        <f t="shared" ref="AB20:AB27" si="8">A20</f>
        <v>0</v>
      </c>
      <c r="AC20" s="303">
        <f t="shared" ref="AC20:AC27" si="9">K20</f>
        <v>0</v>
      </c>
      <c r="AD20" s="837"/>
      <c r="AE20" s="264">
        <f>1-AD20</f>
        <v>1</v>
      </c>
      <c r="AG20" s="656">
        <f t="shared" ref="AG20:AG27" si="10">K20*Z20</f>
        <v>0</v>
      </c>
      <c r="AH20" s="656">
        <f t="shared" ref="AH20:AH27" si="11">K20*AA20</f>
        <v>0</v>
      </c>
      <c r="AJ20" s="656">
        <f t="shared" ref="AJ20:AJ27" si="12">K20*AD20</f>
        <v>0</v>
      </c>
      <c r="AK20" s="656">
        <f t="shared" ref="AK20:AK27" si="13">K20*AE20</f>
        <v>0</v>
      </c>
      <c r="AM20" s="656">
        <f t="shared" ref="AM20:AN27" si="14">AG20+AJ20</f>
        <v>0</v>
      </c>
      <c r="AN20" s="656">
        <f t="shared" si="14"/>
        <v>0</v>
      </c>
      <c r="AO20" s="656">
        <f>AM20+AN20</f>
        <v>0</v>
      </c>
    </row>
    <row r="21" spans="1:41" ht="16.5" customHeight="1" thickTop="1" thickBot="1" x14ac:dyDescent="0.3">
      <c r="A21" s="910"/>
      <c r="B21" s="226"/>
      <c r="C21" s="227"/>
      <c r="D21" s="875"/>
      <c r="E21" s="224">
        <f t="shared" si="0"/>
        <v>0</v>
      </c>
      <c r="F21" s="223" t="str">
        <f t="shared" si="1"/>
        <v xml:space="preserve">n/a </v>
      </c>
      <c r="G21" s="224" t="str">
        <f t="shared" si="2"/>
        <v>n/a</v>
      </c>
      <c r="H21" s="398">
        <f>IF(AND(N21=12,R21="Yes"),C21*U21,IF(AND(N21&lt;12,R21="Yes"),C21*P21*U21,IF(AND(O21="Yes",R21="No"),C21*D21*P21,C21*D21*P21)))</f>
        <v>0</v>
      </c>
      <c r="I21" s="223">
        <f t="shared" si="3"/>
        <v>0.28000000000000003</v>
      </c>
      <c r="J21" s="398">
        <f t="shared" si="4"/>
        <v>0</v>
      </c>
      <c r="K21" s="513">
        <f t="shared" si="5"/>
        <v>0</v>
      </c>
      <c r="L21" s="25"/>
      <c r="M21" s="25"/>
      <c r="N21" s="836">
        <v>12</v>
      </c>
      <c r="O21" s="876" t="s">
        <v>60</v>
      </c>
      <c r="P21" s="637">
        <f t="shared" si="6"/>
        <v>1</v>
      </c>
      <c r="R21" s="877" t="s">
        <v>60</v>
      </c>
      <c r="S21" s="248" t="str">
        <f t="shared" si="7"/>
        <v xml:space="preserve"> </v>
      </c>
      <c r="T21" s="250" t="str">
        <f t="shared" ref="T21:T27" si="15">IF(R21="No", " ", 1-S21)</f>
        <v xml:space="preserve"> </v>
      </c>
      <c r="U21" s="846"/>
      <c r="V21" s="254" t="str">
        <f>IF(AND(N21=12,R21="Yes"),D21-U21,IF(AND(N21&lt;12,R21="Yes"),F21-U21," "))</f>
        <v xml:space="preserve"> </v>
      </c>
      <c r="W21" s="256" t="str">
        <f>IF(AND(N21=12,R21="Yes",U21&gt;D21),"ERROR",IF(AND(N21&lt;12,R21="Yes",U21&gt;F21),"ERROR"," "))</f>
        <v xml:space="preserve"> </v>
      </c>
      <c r="X21" s="697"/>
      <c r="Y21" s="258"/>
      <c r="Z21" s="259"/>
      <c r="AA21" s="259"/>
      <c r="AB21" s="302">
        <f t="shared" si="8"/>
        <v>0</v>
      </c>
      <c r="AC21" s="303">
        <f t="shared" si="9"/>
        <v>0</v>
      </c>
      <c r="AD21" s="837"/>
      <c r="AE21" s="264">
        <f t="shared" ref="AE21:AE27" si="16">1-AD21</f>
        <v>1</v>
      </c>
      <c r="AG21" s="656">
        <f t="shared" si="10"/>
        <v>0</v>
      </c>
      <c r="AH21" s="656">
        <f t="shared" si="11"/>
        <v>0</v>
      </c>
      <c r="AJ21" s="656">
        <f t="shared" si="12"/>
        <v>0</v>
      </c>
      <c r="AK21" s="656">
        <f t="shared" si="13"/>
        <v>0</v>
      </c>
      <c r="AM21" s="656">
        <f t="shared" si="14"/>
        <v>0</v>
      </c>
      <c r="AN21" s="656">
        <f t="shared" si="14"/>
        <v>0</v>
      </c>
      <c r="AO21" s="656">
        <f t="shared" ref="AO21:AO28" si="17">AM21+AN21</f>
        <v>0</v>
      </c>
    </row>
    <row r="22" spans="1:41" ht="16.5" customHeight="1" thickTop="1" thickBot="1" x14ac:dyDescent="0.3">
      <c r="A22" s="910"/>
      <c r="B22" s="226"/>
      <c r="C22" s="227"/>
      <c r="D22" s="875"/>
      <c r="E22" s="224">
        <f t="shared" si="0"/>
        <v>0</v>
      </c>
      <c r="F22" s="223" t="str">
        <f t="shared" si="1"/>
        <v xml:space="preserve">n/a </v>
      </c>
      <c r="G22" s="224" t="str">
        <f t="shared" si="2"/>
        <v>n/a</v>
      </c>
      <c r="H22" s="398">
        <f t="shared" ref="H22:H27" si="18">IF(AND(N22=12,R22="Yes"),C22*U22,IF(AND(N22&lt;12,R22="Yes"),C22*P22*U22,IF(AND(O22="Yes",R22="No"),C22*D22*P22,C22*D22*P22)))</f>
        <v>0</v>
      </c>
      <c r="I22" s="223">
        <f t="shared" si="3"/>
        <v>0.28000000000000003</v>
      </c>
      <c r="J22" s="398">
        <f t="shared" si="4"/>
        <v>0</v>
      </c>
      <c r="K22" s="513">
        <f t="shared" si="5"/>
        <v>0</v>
      </c>
      <c r="L22" s="25"/>
      <c r="M22" s="25"/>
      <c r="N22" s="836">
        <v>12</v>
      </c>
      <c r="O22" s="876" t="s">
        <v>60</v>
      </c>
      <c r="P22" s="637">
        <f t="shared" si="6"/>
        <v>1</v>
      </c>
      <c r="R22" s="877" t="s">
        <v>60</v>
      </c>
      <c r="S22" s="248" t="str">
        <f t="shared" si="7"/>
        <v xml:space="preserve"> </v>
      </c>
      <c r="T22" s="250" t="str">
        <f t="shared" si="15"/>
        <v xml:space="preserve"> </v>
      </c>
      <c r="U22" s="846"/>
      <c r="V22" s="254" t="str">
        <f t="shared" ref="V22:V27" si="19">IF(AND(N22=12,R22="Yes"),D22-U22,IF(AND(N22&lt;12,R22="Yes"),F22-U22," "))</f>
        <v xml:space="preserve"> </v>
      </c>
      <c r="W22" s="256" t="str">
        <f t="shared" ref="W22:W27" si="20">IF(AND(N22=12,R22="Yes",U22&gt;D22),"ERROR",IF(AND(N22&lt;12,R22="Yes",U22&gt;F22),"ERROR"," "))</f>
        <v xml:space="preserve"> </v>
      </c>
      <c r="X22" s="697"/>
      <c r="Y22" s="258"/>
      <c r="Z22" s="259"/>
      <c r="AA22" s="259"/>
      <c r="AB22" s="302">
        <f t="shared" si="8"/>
        <v>0</v>
      </c>
      <c r="AC22" s="303">
        <f t="shared" si="9"/>
        <v>0</v>
      </c>
      <c r="AD22" s="837"/>
      <c r="AE22" s="264">
        <f t="shared" si="16"/>
        <v>1</v>
      </c>
      <c r="AG22" s="656">
        <f t="shared" si="10"/>
        <v>0</v>
      </c>
      <c r="AH22" s="656">
        <f t="shared" si="11"/>
        <v>0</v>
      </c>
      <c r="AJ22" s="656">
        <f t="shared" si="12"/>
        <v>0</v>
      </c>
      <c r="AK22" s="656">
        <f t="shared" si="13"/>
        <v>0</v>
      </c>
      <c r="AM22" s="656">
        <f t="shared" si="14"/>
        <v>0</v>
      </c>
      <c r="AN22" s="656">
        <f t="shared" si="14"/>
        <v>0</v>
      </c>
      <c r="AO22" s="656">
        <f t="shared" si="17"/>
        <v>0</v>
      </c>
    </row>
    <row r="23" spans="1:41" ht="16.5" customHeight="1" thickTop="1" thickBot="1" x14ac:dyDescent="0.3">
      <c r="A23" s="910"/>
      <c r="B23" s="226"/>
      <c r="C23" s="227"/>
      <c r="D23" s="875"/>
      <c r="E23" s="224">
        <f t="shared" si="0"/>
        <v>0</v>
      </c>
      <c r="F23" s="223" t="str">
        <f t="shared" si="1"/>
        <v xml:space="preserve">n/a </v>
      </c>
      <c r="G23" s="224" t="str">
        <f t="shared" si="2"/>
        <v>n/a</v>
      </c>
      <c r="H23" s="398">
        <f t="shared" si="18"/>
        <v>0</v>
      </c>
      <c r="I23" s="223">
        <f t="shared" si="3"/>
        <v>0.28000000000000003</v>
      </c>
      <c r="J23" s="398">
        <f t="shared" si="4"/>
        <v>0</v>
      </c>
      <c r="K23" s="513">
        <f t="shared" si="5"/>
        <v>0</v>
      </c>
      <c r="L23" s="25"/>
      <c r="M23" s="25"/>
      <c r="N23" s="836">
        <v>12</v>
      </c>
      <c r="O23" s="876" t="s">
        <v>60</v>
      </c>
      <c r="P23" s="637">
        <f t="shared" si="6"/>
        <v>1</v>
      </c>
      <c r="R23" s="877" t="s">
        <v>60</v>
      </c>
      <c r="S23" s="248" t="str">
        <f t="shared" si="7"/>
        <v xml:space="preserve"> </v>
      </c>
      <c r="T23" s="250" t="str">
        <f t="shared" si="15"/>
        <v xml:space="preserve"> </v>
      </c>
      <c r="U23" s="846"/>
      <c r="V23" s="254" t="str">
        <f t="shared" si="19"/>
        <v xml:space="preserve"> </v>
      </c>
      <c r="W23" s="256" t="str">
        <f t="shared" si="20"/>
        <v xml:space="preserve"> </v>
      </c>
      <c r="X23" s="697"/>
      <c r="Y23" s="258"/>
      <c r="Z23" s="259"/>
      <c r="AA23" s="259"/>
      <c r="AB23" s="302">
        <f t="shared" si="8"/>
        <v>0</v>
      </c>
      <c r="AC23" s="303">
        <f t="shared" si="9"/>
        <v>0</v>
      </c>
      <c r="AD23" s="837"/>
      <c r="AE23" s="264">
        <f t="shared" si="16"/>
        <v>1</v>
      </c>
      <c r="AG23" s="656">
        <f t="shared" si="10"/>
        <v>0</v>
      </c>
      <c r="AH23" s="656">
        <f t="shared" si="11"/>
        <v>0</v>
      </c>
      <c r="AJ23" s="656">
        <f t="shared" si="12"/>
        <v>0</v>
      </c>
      <c r="AK23" s="656">
        <f t="shared" si="13"/>
        <v>0</v>
      </c>
      <c r="AM23" s="656">
        <f t="shared" si="14"/>
        <v>0</v>
      </c>
      <c r="AN23" s="656">
        <f t="shared" si="14"/>
        <v>0</v>
      </c>
      <c r="AO23" s="656">
        <f t="shared" si="17"/>
        <v>0</v>
      </c>
    </row>
    <row r="24" spans="1:41" ht="16.5" customHeight="1" thickTop="1" thickBot="1" x14ac:dyDescent="0.3">
      <c r="A24" s="910"/>
      <c r="B24" s="226"/>
      <c r="C24" s="227"/>
      <c r="D24" s="875"/>
      <c r="E24" s="224">
        <f t="shared" si="0"/>
        <v>0</v>
      </c>
      <c r="F24" s="223" t="str">
        <f t="shared" si="1"/>
        <v xml:space="preserve">n/a </v>
      </c>
      <c r="G24" s="224" t="str">
        <f t="shared" si="2"/>
        <v>n/a</v>
      </c>
      <c r="H24" s="398">
        <f t="shared" si="18"/>
        <v>0</v>
      </c>
      <c r="I24" s="223">
        <f t="shared" si="3"/>
        <v>0.28000000000000003</v>
      </c>
      <c r="J24" s="398">
        <f t="shared" si="4"/>
        <v>0</v>
      </c>
      <c r="K24" s="513">
        <f t="shared" si="5"/>
        <v>0</v>
      </c>
      <c r="L24" s="25"/>
      <c r="M24" s="25"/>
      <c r="N24" s="836">
        <v>12</v>
      </c>
      <c r="O24" s="876" t="s">
        <v>60</v>
      </c>
      <c r="P24" s="637">
        <f t="shared" si="6"/>
        <v>1</v>
      </c>
      <c r="R24" s="877" t="s">
        <v>60</v>
      </c>
      <c r="S24" s="248" t="str">
        <f t="shared" si="7"/>
        <v xml:space="preserve"> </v>
      </c>
      <c r="T24" s="250" t="str">
        <f t="shared" si="15"/>
        <v xml:space="preserve"> </v>
      </c>
      <c r="U24" s="846"/>
      <c r="V24" s="254" t="str">
        <f t="shared" si="19"/>
        <v xml:space="preserve"> </v>
      </c>
      <c r="W24" s="256" t="str">
        <f t="shared" si="20"/>
        <v xml:space="preserve"> </v>
      </c>
      <c r="X24" s="697"/>
      <c r="Y24" s="258"/>
      <c r="Z24" s="259"/>
      <c r="AA24" s="259"/>
      <c r="AB24" s="302">
        <f t="shared" si="8"/>
        <v>0</v>
      </c>
      <c r="AC24" s="303">
        <f t="shared" si="9"/>
        <v>0</v>
      </c>
      <c r="AD24" s="837"/>
      <c r="AE24" s="264">
        <f t="shared" si="16"/>
        <v>1</v>
      </c>
      <c r="AG24" s="656">
        <f t="shared" si="10"/>
        <v>0</v>
      </c>
      <c r="AH24" s="656">
        <f t="shared" si="11"/>
        <v>0</v>
      </c>
      <c r="AJ24" s="656">
        <f t="shared" si="12"/>
        <v>0</v>
      </c>
      <c r="AK24" s="656">
        <f t="shared" si="13"/>
        <v>0</v>
      </c>
      <c r="AM24" s="656">
        <f t="shared" si="14"/>
        <v>0</v>
      </c>
      <c r="AN24" s="656">
        <f t="shared" si="14"/>
        <v>0</v>
      </c>
      <c r="AO24" s="656">
        <f t="shared" si="17"/>
        <v>0</v>
      </c>
    </row>
    <row r="25" spans="1:41" ht="16.5" customHeight="1" thickTop="1" thickBot="1" x14ac:dyDescent="0.3">
      <c r="A25" s="910"/>
      <c r="B25" s="226"/>
      <c r="C25" s="227"/>
      <c r="D25" s="875"/>
      <c r="E25" s="224">
        <f t="shared" si="0"/>
        <v>0</v>
      </c>
      <c r="F25" s="223" t="str">
        <f t="shared" si="1"/>
        <v xml:space="preserve">n/a </v>
      </c>
      <c r="G25" s="224" t="str">
        <f t="shared" si="2"/>
        <v>n/a</v>
      </c>
      <c r="H25" s="398">
        <f t="shared" si="18"/>
        <v>0</v>
      </c>
      <c r="I25" s="223">
        <f t="shared" si="3"/>
        <v>0.28000000000000003</v>
      </c>
      <c r="J25" s="398">
        <f t="shared" si="4"/>
        <v>0</v>
      </c>
      <c r="K25" s="513">
        <f t="shared" si="5"/>
        <v>0</v>
      </c>
      <c r="L25" s="25"/>
      <c r="M25" s="25"/>
      <c r="N25" s="836">
        <v>12</v>
      </c>
      <c r="O25" s="876" t="s">
        <v>60</v>
      </c>
      <c r="P25" s="637">
        <f t="shared" si="6"/>
        <v>1</v>
      </c>
      <c r="R25" s="877" t="s">
        <v>60</v>
      </c>
      <c r="S25" s="248" t="str">
        <f t="shared" si="7"/>
        <v xml:space="preserve"> </v>
      </c>
      <c r="T25" s="250" t="str">
        <f t="shared" si="15"/>
        <v xml:space="preserve"> </v>
      </c>
      <c r="U25" s="846"/>
      <c r="V25" s="254" t="str">
        <f t="shared" si="19"/>
        <v xml:space="preserve"> </v>
      </c>
      <c r="W25" s="256" t="str">
        <f t="shared" si="20"/>
        <v xml:space="preserve"> </v>
      </c>
      <c r="X25" s="697"/>
      <c r="Y25" s="258"/>
      <c r="Z25" s="259"/>
      <c r="AA25" s="259"/>
      <c r="AB25" s="302">
        <f t="shared" si="8"/>
        <v>0</v>
      </c>
      <c r="AC25" s="303">
        <f t="shared" si="9"/>
        <v>0</v>
      </c>
      <c r="AD25" s="837"/>
      <c r="AE25" s="264">
        <f t="shared" si="16"/>
        <v>1</v>
      </c>
      <c r="AG25" s="656">
        <f t="shared" si="10"/>
        <v>0</v>
      </c>
      <c r="AH25" s="656">
        <f t="shared" si="11"/>
        <v>0</v>
      </c>
      <c r="AJ25" s="656">
        <f t="shared" si="12"/>
        <v>0</v>
      </c>
      <c r="AK25" s="656">
        <f t="shared" si="13"/>
        <v>0</v>
      </c>
      <c r="AM25" s="656">
        <f t="shared" si="14"/>
        <v>0</v>
      </c>
      <c r="AN25" s="656">
        <f t="shared" si="14"/>
        <v>0</v>
      </c>
      <c r="AO25" s="656">
        <f t="shared" si="17"/>
        <v>0</v>
      </c>
    </row>
    <row r="26" spans="1:41" ht="16.5" customHeight="1" thickTop="1" thickBot="1" x14ac:dyDescent="0.3">
      <c r="A26" s="910"/>
      <c r="B26" s="226"/>
      <c r="C26" s="227"/>
      <c r="D26" s="875"/>
      <c r="E26" s="224">
        <f t="shared" si="0"/>
        <v>0</v>
      </c>
      <c r="F26" s="223" t="str">
        <f t="shared" si="1"/>
        <v xml:space="preserve">n/a </v>
      </c>
      <c r="G26" s="224" t="str">
        <f t="shared" si="2"/>
        <v>n/a</v>
      </c>
      <c r="H26" s="398">
        <f t="shared" si="18"/>
        <v>0</v>
      </c>
      <c r="I26" s="223">
        <f t="shared" si="3"/>
        <v>0.28000000000000003</v>
      </c>
      <c r="J26" s="398">
        <f t="shared" si="4"/>
        <v>0</v>
      </c>
      <c r="K26" s="513">
        <f t="shared" si="5"/>
        <v>0</v>
      </c>
      <c r="L26" s="25"/>
      <c r="M26" s="25"/>
      <c r="N26" s="836">
        <v>12</v>
      </c>
      <c r="O26" s="876" t="s">
        <v>60</v>
      </c>
      <c r="P26" s="637">
        <f t="shared" si="6"/>
        <v>1</v>
      </c>
      <c r="R26" s="877" t="s">
        <v>60</v>
      </c>
      <c r="S26" s="248" t="str">
        <f t="shared" si="7"/>
        <v xml:space="preserve"> </v>
      </c>
      <c r="T26" s="250" t="str">
        <f t="shared" si="15"/>
        <v xml:space="preserve"> </v>
      </c>
      <c r="U26" s="846"/>
      <c r="V26" s="254" t="str">
        <f t="shared" si="19"/>
        <v xml:space="preserve"> </v>
      </c>
      <c r="W26" s="256" t="str">
        <f t="shared" si="20"/>
        <v xml:space="preserve"> </v>
      </c>
      <c r="X26" s="697"/>
      <c r="Y26" s="258"/>
      <c r="Z26" s="259"/>
      <c r="AA26" s="259"/>
      <c r="AB26" s="302">
        <f t="shared" si="8"/>
        <v>0</v>
      </c>
      <c r="AC26" s="303">
        <f t="shared" si="9"/>
        <v>0</v>
      </c>
      <c r="AD26" s="837"/>
      <c r="AE26" s="264">
        <f t="shared" si="16"/>
        <v>1</v>
      </c>
      <c r="AG26" s="656">
        <f t="shared" si="10"/>
        <v>0</v>
      </c>
      <c r="AH26" s="656">
        <f t="shared" si="11"/>
        <v>0</v>
      </c>
      <c r="AJ26" s="656">
        <f t="shared" si="12"/>
        <v>0</v>
      </c>
      <c r="AK26" s="656">
        <f t="shared" si="13"/>
        <v>0</v>
      </c>
      <c r="AM26" s="656">
        <f t="shared" si="14"/>
        <v>0</v>
      </c>
      <c r="AN26" s="656">
        <f t="shared" si="14"/>
        <v>0</v>
      </c>
      <c r="AO26" s="656">
        <f t="shared" si="17"/>
        <v>0</v>
      </c>
    </row>
    <row r="27" spans="1:41" ht="16.5" customHeight="1" thickTop="1" x14ac:dyDescent="0.25">
      <c r="A27" s="910"/>
      <c r="B27" s="226"/>
      <c r="C27" s="227"/>
      <c r="D27" s="229"/>
      <c r="E27" s="224">
        <f t="shared" si="0"/>
        <v>0</v>
      </c>
      <c r="F27" s="223" t="str">
        <f t="shared" si="1"/>
        <v xml:space="preserve">n/a </v>
      </c>
      <c r="G27" s="224" t="str">
        <f t="shared" si="2"/>
        <v>n/a</v>
      </c>
      <c r="H27" s="398">
        <f t="shared" si="18"/>
        <v>0</v>
      </c>
      <c r="I27" s="223">
        <f t="shared" si="3"/>
        <v>0.28000000000000003</v>
      </c>
      <c r="J27" s="398">
        <f t="shared" si="4"/>
        <v>0</v>
      </c>
      <c r="K27" s="513">
        <f t="shared" si="5"/>
        <v>0</v>
      </c>
      <c r="L27" s="25"/>
      <c r="M27" s="25"/>
      <c r="N27" s="847">
        <v>12</v>
      </c>
      <c r="O27" s="878" t="s">
        <v>60</v>
      </c>
      <c r="P27" s="638">
        <f t="shared" si="6"/>
        <v>1</v>
      </c>
      <c r="R27" s="879" t="s">
        <v>60</v>
      </c>
      <c r="S27" s="252" t="str">
        <f t="shared" si="7"/>
        <v xml:space="preserve"> </v>
      </c>
      <c r="T27" s="253" t="str">
        <f t="shared" si="15"/>
        <v xml:space="preserve"> </v>
      </c>
      <c r="U27" s="848"/>
      <c r="V27" s="257" t="str">
        <f t="shared" si="19"/>
        <v xml:space="preserve"> </v>
      </c>
      <c r="W27" s="256" t="str">
        <f t="shared" si="20"/>
        <v xml:space="preserve"> </v>
      </c>
      <c r="X27" s="697"/>
      <c r="Y27" s="258"/>
      <c r="Z27" s="259"/>
      <c r="AA27" s="259"/>
      <c r="AB27" s="302">
        <f t="shared" si="8"/>
        <v>0</v>
      </c>
      <c r="AC27" s="303">
        <f t="shared" si="9"/>
        <v>0</v>
      </c>
      <c r="AD27" s="837"/>
      <c r="AE27" s="264">
        <f t="shared" si="16"/>
        <v>1</v>
      </c>
      <c r="AG27" s="656">
        <f t="shared" si="10"/>
        <v>0</v>
      </c>
      <c r="AH27" s="656">
        <f t="shared" si="11"/>
        <v>0</v>
      </c>
      <c r="AJ27" s="656">
        <f t="shared" si="12"/>
        <v>0</v>
      </c>
      <c r="AK27" s="656">
        <f t="shared" si="13"/>
        <v>0</v>
      </c>
      <c r="AM27" s="656">
        <f t="shared" si="14"/>
        <v>0</v>
      </c>
      <c r="AN27" s="656">
        <f t="shared" si="14"/>
        <v>0</v>
      </c>
      <c r="AO27" s="656">
        <f t="shared" si="17"/>
        <v>0</v>
      </c>
    </row>
    <row r="28" spans="1:41" ht="14.4" x14ac:dyDescent="0.25">
      <c r="A28" s="293"/>
      <c r="B28" s="294"/>
      <c r="C28" s="295"/>
      <c r="D28" s="295"/>
      <c r="E28" s="296"/>
      <c r="F28" s="296"/>
      <c r="G28" s="296" t="s">
        <v>222</v>
      </c>
      <c r="H28" s="297" t="s">
        <v>138</v>
      </c>
      <c r="I28" s="297"/>
      <c r="J28" s="297">
        <v>0</v>
      </c>
      <c r="K28" s="514">
        <f>I28+J28</f>
        <v>0</v>
      </c>
      <c r="L28" s="25"/>
      <c r="M28" s="25"/>
      <c r="N28" s="423"/>
      <c r="O28" s="424"/>
      <c r="P28" s="262"/>
      <c r="X28" s="326"/>
      <c r="Y28" s="260"/>
      <c r="Z28" s="261"/>
      <c r="AA28" s="259"/>
      <c r="AB28" s="262"/>
      <c r="AC28" s="263">
        <v>0</v>
      </c>
      <c r="AD28" s="263">
        <v>0</v>
      </c>
      <c r="AE28" s="273"/>
      <c r="AG28" s="297" t="s">
        <v>138</v>
      </c>
      <c r="AH28" s="297" t="s">
        <v>138</v>
      </c>
      <c r="AJ28" s="297" t="s">
        <v>138</v>
      </c>
      <c r="AK28" s="297" t="s">
        <v>138</v>
      </c>
      <c r="AM28" s="297">
        <v>0</v>
      </c>
      <c r="AN28" s="297">
        <v>0</v>
      </c>
      <c r="AO28" s="420">
        <f t="shared" si="17"/>
        <v>0</v>
      </c>
    </row>
    <row r="29" spans="1:41" ht="16.5" customHeight="1" thickBot="1" x14ac:dyDescent="0.3">
      <c r="A29" s="910" t="s">
        <v>9</v>
      </c>
      <c r="B29" s="300"/>
      <c r="C29" s="301"/>
      <c r="D29" s="301"/>
      <c r="E29" s="301"/>
      <c r="F29" s="301"/>
      <c r="G29" s="301"/>
      <c r="H29" s="298">
        <f>SUM(H20:H28)</f>
        <v>0</v>
      </c>
      <c r="I29" s="336"/>
      <c r="J29" s="298">
        <f>SUM(J20:J28)</f>
        <v>0</v>
      </c>
      <c r="K29" s="299">
        <f>SUM(K20:K28)</f>
        <v>0</v>
      </c>
      <c r="L29" s="175"/>
      <c r="M29" s="175"/>
      <c r="X29" s="326"/>
      <c r="Y29" s="271"/>
      <c r="Z29" s="272"/>
      <c r="AA29" s="272"/>
      <c r="AB29" s="262"/>
      <c r="AC29" s="262"/>
      <c r="AD29" s="272"/>
      <c r="AE29" s="273"/>
      <c r="AG29" s="706">
        <f>SUM(AG20:AG28)</f>
        <v>0</v>
      </c>
      <c r="AH29" s="706">
        <f>SUM(AH20:AH28)</f>
        <v>0</v>
      </c>
      <c r="AJ29" s="706">
        <f>SUM(AJ20:AJ28)</f>
        <v>0</v>
      </c>
      <c r="AK29" s="706">
        <f>SUM(AK20:AK28)</f>
        <v>0</v>
      </c>
      <c r="AM29" s="656">
        <f>SUM(AM20:AM28)</f>
        <v>0</v>
      </c>
      <c r="AN29" s="656">
        <f>SUM(AN20:AN28)</f>
        <v>0</v>
      </c>
      <c r="AO29" s="706">
        <f>SUM(AO20:AO28)</f>
        <v>0</v>
      </c>
    </row>
    <row r="30" spans="1:41" ht="16.5" customHeight="1" x14ac:dyDescent="0.25">
      <c r="A30" s="910"/>
      <c r="B30" s="226"/>
      <c r="C30" s="301"/>
      <c r="D30" s="301"/>
      <c r="E30" s="301"/>
      <c r="F30" s="301"/>
      <c r="G30" s="301"/>
      <c r="H30" s="301"/>
      <c r="I30" s="301"/>
      <c r="J30" s="301"/>
      <c r="K30" s="338"/>
      <c r="L30" s="180"/>
      <c r="M30" s="180"/>
      <c r="X30" s="326"/>
      <c r="Y30" s="271"/>
      <c r="Z30" s="272"/>
      <c r="AA30" s="272"/>
      <c r="AB30" s="262"/>
      <c r="AC30" s="262"/>
      <c r="AD30" s="272"/>
      <c r="AE30" s="273"/>
      <c r="AM30" s="708"/>
      <c r="AN30" s="706"/>
    </row>
    <row r="31" spans="1:41" ht="16.5" customHeight="1" x14ac:dyDescent="0.25">
      <c r="A31" s="341" t="s">
        <v>120</v>
      </c>
      <c r="B31" s="342"/>
      <c r="C31" s="301"/>
      <c r="D31" s="301"/>
      <c r="E31" s="337" t="s">
        <v>159</v>
      </c>
      <c r="F31" s="301"/>
      <c r="G31" s="301"/>
      <c r="H31" s="301"/>
      <c r="I31" s="301"/>
      <c r="J31" s="301"/>
      <c r="K31" s="903" t="s">
        <v>160</v>
      </c>
      <c r="L31" s="181"/>
      <c r="M31" s="181"/>
      <c r="X31" s="326"/>
      <c r="Y31" s="271"/>
      <c r="Z31" s="272"/>
      <c r="AA31" s="272"/>
      <c r="AB31" s="262"/>
      <c r="AC31" s="262"/>
      <c r="AD31" s="272"/>
      <c r="AE31" s="273"/>
    </row>
    <row r="32" spans="1:41" ht="16.5" customHeight="1" x14ac:dyDescent="0.25">
      <c r="A32" s="910"/>
      <c r="B32" s="226"/>
      <c r="C32" s="301"/>
      <c r="D32" s="301"/>
      <c r="E32" s="227"/>
      <c r="F32" s="261"/>
      <c r="G32" s="261"/>
      <c r="H32" s="301"/>
      <c r="I32" s="301"/>
      <c r="J32" s="301"/>
      <c r="K32" s="227"/>
      <c r="L32" s="25"/>
      <c r="M32" s="25"/>
      <c r="X32" s="326"/>
      <c r="Y32" s="271"/>
      <c r="Z32" s="272"/>
      <c r="AA32" s="272"/>
      <c r="AB32" s="262"/>
      <c r="AC32" s="262"/>
      <c r="AD32" s="272"/>
      <c r="AE32" s="273"/>
    </row>
    <row r="33" spans="1:41" ht="16.5" customHeight="1" x14ac:dyDescent="0.25">
      <c r="A33" s="910"/>
      <c r="B33" s="226"/>
      <c r="C33" s="301"/>
      <c r="D33" s="301"/>
      <c r="E33" s="227"/>
      <c r="F33" s="261"/>
      <c r="G33" s="261"/>
      <c r="H33" s="301"/>
      <c r="I33" s="301"/>
      <c r="J33" s="301"/>
      <c r="K33" s="339"/>
      <c r="L33" s="25"/>
      <c r="M33" s="25"/>
      <c r="X33" s="326"/>
      <c r="Y33" s="271"/>
      <c r="Z33" s="272"/>
      <c r="AA33" s="272"/>
      <c r="AB33" s="262"/>
      <c r="AC33" s="262"/>
      <c r="AD33" s="272"/>
      <c r="AE33" s="273"/>
    </row>
    <row r="34" spans="1:41" ht="16.5" customHeight="1" thickBot="1" x14ac:dyDescent="0.35">
      <c r="A34" s="574" t="s">
        <v>121</v>
      </c>
      <c r="B34" s="574"/>
      <c r="C34" s="574"/>
      <c r="D34" s="574"/>
      <c r="E34" s="574"/>
      <c r="F34" s="574"/>
      <c r="G34" s="574"/>
      <c r="H34" s="574"/>
      <c r="I34" s="574"/>
      <c r="J34" s="651"/>
      <c r="K34" s="299">
        <f>SUM(E32:E33)+SUM(K32:K33)</f>
        <v>0</v>
      </c>
      <c r="L34" s="175"/>
      <c r="M34" s="175"/>
      <c r="N34" s="425" t="s">
        <v>45</v>
      </c>
      <c r="O34" s="425"/>
      <c r="X34" s="326"/>
      <c r="Y34" s="274" t="s">
        <v>168</v>
      </c>
      <c r="Z34" s="272" t="s">
        <v>203</v>
      </c>
      <c r="AA34" s="272" t="s">
        <v>204</v>
      </c>
      <c r="AB34" s="262"/>
      <c r="AC34" s="275" t="s">
        <v>168</v>
      </c>
      <c r="AD34" s="272" t="s">
        <v>203</v>
      </c>
      <c r="AE34" s="273" t="s">
        <v>204</v>
      </c>
      <c r="AG34" s="275" t="s">
        <v>168</v>
      </c>
    </row>
    <row r="35" spans="1:41" ht="16.5" customHeight="1" x14ac:dyDescent="0.25">
      <c r="A35" s="910"/>
      <c r="B35" s="226"/>
      <c r="C35" s="301"/>
      <c r="D35" s="340"/>
      <c r="E35" s="301"/>
      <c r="F35" s="261"/>
      <c r="G35" s="261"/>
      <c r="H35" s="301"/>
      <c r="I35" s="301"/>
      <c r="J35" s="301"/>
      <c r="K35" s="338"/>
      <c r="L35" s="180"/>
      <c r="M35" s="180"/>
      <c r="X35" s="326"/>
      <c r="Y35" s="274" t="s">
        <v>167</v>
      </c>
      <c r="Z35" s="278" t="s">
        <v>136</v>
      </c>
      <c r="AA35" s="278" t="s">
        <v>137</v>
      </c>
      <c r="AB35" s="262"/>
      <c r="AC35" s="275" t="s">
        <v>167</v>
      </c>
      <c r="AD35" s="278" t="s">
        <v>136</v>
      </c>
      <c r="AE35" s="279" t="s">
        <v>137</v>
      </c>
      <c r="AG35" s="275"/>
    </row>
    <row r="36" spans="1:41" ht="16.5" customHeight="1" x14ac:dyDescent="0.25">
      <c r="A36" s="341" t="s">
        <v>13</v>
      </c>
      <c r="B36" s="342"/>
      <c r="C36" s="301"/>
      <c r="D36" s="301"/>
      <c r="E36" s="902" t="s">
        <v>159</v>
      </c>
      <c r="F36" s="261"/>
      <c r="G36" s="261"/>
      <c r="H36" s="301"/>
      <c r="I36" s="301"/>
      <c r="J36" s="301"/>
      <c r="K36" s="903" t="s">
        <v>160</v>
      </c>
      <c r="L36" s="181"/>
      <c r="M36" s="181"/>
      <c r="Y36" s="1463" t="s">
        <v>159</v>
      </c>
      <c r="Z36" s="1464"/>
      <c r="AA36" s="1464"/>
      <c r="AB36" s="262"/>
      <c r="AC36" s="1465" t="s">
        <v>160</v>
      </c>
      <c r="AD36" s="1465"/>
      <c r="AE36" s="1466"/>
      <c r="AG36" s="1464" t="s">
        <v>159</v>
      </c>
      <c r="AH36" s="1464"/>
      <c r="AJ36" s="1466" t="s">
        <v>160</v>
      </c>
      <c r="AK36" s="1466"/>
      <c r="AM36" s="1506" t="s">
        <v>161</v>
      </c>
      <c r="AN36" s="1506"/>
      <c r="AO36" s="1506"/>
    </row>
    <row r="37" spans="1:41" ht="16.5" customHeight="1" x14ac:dyDescent="0.25">
      <c r="A37" s="910"/>
      <c r="B37" s="226"/>
      <c r="C37" s="301"/>
      <c r="D37" s="866"/>
      <c r="E37" s="227"/>
      <c r="F37" s="261"/>
      <c r="G37" s="261"/>
      <c r="H37" s="301"/>
      <c r="I37" s="301"/>
      <c r="J37" s="301"/>
      <c r="K37" s="227"/>
      <c r="L37" s="25"/>
      <c r="M37" s="25"/>
      <c r="Y37" s="643">
        <f>E37</f>
        <v>0</v>
      </c>
      <c r="Z37" s="837"/>
      <c r="AA37" s="495">
        <f>1-Z37</f>
        <v>1</v>
      </c>
      <c r="AB37" s="493"/>
      <c r="AC37" s="644">
        <f>K37</f>
        <v>0</v>
      </c>
      <c r="AD37" s="837"/>
      <c r="AE37" s="264">
        <f>1-AD37</f>
        <v>1</v>
      </c>
      <c r="AG37" s="656">
        <f>E37*Z37</f>
        <v>0</v>
      </c>
      <c r="AH37" s="656">
        <f>E37*AA37</f>
        <v>0</v>
      </c>
      <c r="AJ37" s="656">
        <f>K37*AD37</f>
        <v>0</v>
      </c>
      <c r="AK37" s="656">
        <f>K37*AE37</f>
        <v>0</v>
      </c>
      <c r="AM37" s="656">
        <f>AG37+AJ37</f>
        <v>0</v>
      </c>
      <c r="AN37" s="656">
        <f>AH37+AK37</f>
        <v>0</v>
      </c>
      <c r="AO37" s="656">
        <f>SUM(AM37:AN37)</f>
        <v>0</v>
      </c>
    </row>
    <row r="38" spans="1:41" ht="16.5" customHeight="1" x14ac:dyDescent="0.25">
      <c r="A38" s="910"/>
      <c r="B38" s="226"/>
      <c r="C38" s="301"/>
      <c r="D38" s="866"/>
      <c r="E38" s="227"/>
      <c r="F38" s="261"/>
      <c r="G38" s="261"/>
      <c r="H38" s="301"/>
      <c r="I38" s="343"/>
      <c r="J38" s="296" t="s">
        <v>223</v>
      </c>
      <c r="K38" s="382">
        <v>0</v>
      </c>
      <c r="L38" s="25"/>
      <c r="M38" s="25"/>
      <c r="Y38" s="643">
        <f>E38</f>
        <v>0</v>
      </c>
      <c r="Z38" s="837"/>
      <c r="AA38" s="495">
        <f>1-Z38</f>
        <v>1</v>
      </c>
      <c r="AB38" s="493"/>
      <c r="AC38" s="263">
        <v>0</v>
      </c>
      <c r="AD38" s="263">
        <v>0</v>
      </c>
      <c r="AE38" s="273"/>
      <c r="AG38" s="420">
        <f>E38*Z38</f>
        <v>0</v>
      </c>
      <c r="AH38" s="420">
        <f>E38*AA38</f>
        <v>0</v>
      </c>
      <c r="AI38" s="262"/>
      <c r="AJ38" s="297">
        <v>0</v>
      </c>
      <c r="AK38" s="297">
        <v>0</v>
      </c>
      <c r="AM38" s="420">
        <f>AG38+AJ38</f>
        <v>0</v>
      </c>
      <c r="AN38" s="420">
        <f>AH38+AK38</f>
        <v>0</v>
      </c>
      <c r="AO38" s="420">
        <f t="shared" ref="AO38:AO39" si="21">SUM(AM38:AN38)</f>
        <v>0</v>
      </c>
    </row>
    <row r="39" spans="1:41" ht="16.5" customHeight="1" thickBot="1" x14ac:dyDescent="0.3">
      <c r="A39" s="574" t="s">
        <v>14</v>
      </c>
      <c r="B39" s="574"/>
      <c r="C39" s="574"/>
      <c r="D39" s="574"/>
      <c r="E39" s="574"/>
      <c r="F39" s="574"/>
      <c r="G39" s="574"/>
      <c r="H39" s="574"/>
      <c r="I39" s="574"/>
      <c r="J39" s="651"/>
      <c r="K39" s="383">
        <f>SUM(E37:E38)+SUM(K37:K38)</f>
        <v>0</v>
      </c>
      <c r="L39" s="174"/>
      <c r="M39" s="174"/>
      <c r="Y39" s="492"/>
      <c r="Z39" s="272"/>
      <c r="AA39" s="272"/>
      <c r="AB39" s="493"/>
      <c r="AC39" s="493"/>
      <c r="AD39" s="272"/>
      <c r="AE39" s="273"/>
      <c r="AG39" s="656">
        <f>SUM(AG37:AG38)</f>
        <v>0</v>
      </c>
      <c r="AH39" s="656">
        <f t="shared" ref="AH39:AK39" si="22">SUM(AH37:AH38)</f>
        <v>0</v>
      </c>
      <c r="AI39" s="656"/>
      <c r="AJ39" s="656">
        <f t="shared" si="22"/>
        <v>0</v>
      </c>
      <c r="AK39" s="656">
        <f t="shared" si="22"/>
        <v>0</v>
      </c>
      <c r="AM39" s="656">
        <f>SUM(AM37:AM38)</f>
        <v>0</v>
      </c>
      <c r="AN39" s="656">
        <f>SUM(AN37:AN38)</f>
        <v>0</v>
      </c>
      <c r="AO39" s="706">
        <f t="shared" si="21"/>
        <v>0</v>
      </c>
    </row>
    <row r="40" spans="1:41" ht="16.5" customHeight="1" x14ac:dyDescent="0.25">
      <c r="A40" s="910"/>
      <c r="B40" s="226"/>
      <c r="C40" s="301"/>
      <c r="D40" s="301"/>
      <c r="E40" s="301"/>
      <c r="F40" s="261"/>
      <c r="G40" s="261"/>
      <c r="H40" s="301"/>
      <c r="I40" s="301"/>
      <c r="J40" s="301"/>
      <c r="K40" s="338"/>
      <c r="L40" s="180"/>
      <c r="M40" s="180"/>
      <c r="Y40" s="494" t="s">
        <v>169</v>
      </c>
      <c r="Z40" s="272" t="s">
        <v>203</v>
      </c>
      <c r="AA40" s="272" t="s">
        <v>204</v>
      </c>
      <c r="AB40" s="493"/>
      <c r="AC40" s="236" t="s">
        <v>169</v>
      </c>
      <c r="AD40" s="272" t="s">
        <v>203</v>
      </c>
      <c r="AE40" s="273" t="s">
        <v>204</v>
      </c>
      <c r="AG40" s="236" t="s">
        <v>169</v>
      </c>
      <c r="AM40" s="708"/>
      <c r="AN40" s="706"/>
    </row>
    <row r="41" spans="1:41" ht="16.5" customHeight="1" x14ac:dyDescent="0.25">
      <c r="A41" s="344" t="s">
        <v>10</v>
      </c>
      <c r="B41" s="342"/>
      <c r="C41" s="301"/>
      <c r="D41" s="301"/>
      <c r="E41" s="337" t="s">
        <v>159</v>
      </c>
      <c r="F41" s="261"/>
      <c r="G41" s="261"/>
      <c r="H41" s="301"/>
      <c r="I41" s="301"/>
      <c r="J41" s="301"/>
      <c r="K41" s="903" t="s">
        <v>160</v>
      </c>
      <c r="L41" s="181"/>
      <c r="M41" s="181"/>
      <c r="Y41" s="494" t="s">
        <v>167</v>
      </c>
      <c r="Z41" s="278" t="s">
        <v>136</v>
      </c>
      <c r="AA41" s="278" t="s">
        <v>137</v>
      </c>
      <c r="AB41" s="493"/>
      <c r="AC41" s="236" t="s">
        <v>167</v>
      </c>
      <c r="AD41" s="278" t="s">
        <v>136</v>
      </c>
      <c r="AE41" s="279" t="s">
        <v>137</v>
      </c>
      <c r="AG41" s="236"/>
    </row>
    <row r="42" spans="1:41" ht="16.5" customHeight="1" x14ac:dyDescent="0.25">
      <c r="A42" s="910"/>
      <c r="B42" s="226"/>
      <c r="C42" s="301"/>
      <c r="D42" s="866"/>
      <c r="E42" s="227"/>
      <c r="F42" s="261"/>
      <c r="G42" s="261"/>
      <c r="H42" s="301"/>
      <c r="I42" s="301"/>
      <c r="J42" s="301"/>
      <c r="K42" s="227"/>
      <c r="L42" s="25"/>
      <c r="M42" s="25"/>
      <c r="Y42" s="643">
        <f>E42</f>
        <v>0</v>
      </c>
      <c r="Z42" s="837"/>
      <c r="AA42" s="495">
        <f>1-Z42</f>
        <v>1</v>
      </c>
      <c r="AB42" s="493"/>
      <c r="AC42" s="644">
        <f>K42</f>
        <v>0</v>
      </c>
      <c r="AD42" s="837"/>
      <c r="AE42" s="264">
        <f>1-AD42</f>
        <v>1</v>
      </c>
      <c r="AG42" s="656">
        <f>E42*Z42</f>
        <v>0</v>
      </c>
      <c r="AH42" s="656">
        <f>E42*AA42</f>
        <v>0</v>
      </c>
      <c r="AJ42" s="656">
        <f>K42*AD42</f>
        <v>0</v>
      </c>
      <c r="AK42" s="656">
        <f>K42*AE42</f>
        <v>0</v>
      </c>
      <c r="AM42" s="656">
        <f>AG42+AJ42</f>
        <v>0</v>
      </c>
      <c r="AN42" s="656">
        <f>AH42+AK42</f>
        <v>0</v>
      </c>
      <c r="AO42" s="656">
        <f>SUM(AM42:AN42)</f>
        <v>0</v>
      </c>
    </row>
    <row r="43" spans="1:41" ht="16.5" customHeight="1" x14ac:dyDescent="0.25">
      <c r="A43" s="910"/>
      <c r="B43" s="226"/>
      <c r="C43" s="301"/>
      <c r="D43" s="866"/>
      <c r="E43" s="227"/>
      <c r="F43" s="261"/>
      <c r="G43" s="261"/>
      <c r="H43" s="301"/>
      <c r="I43" s="301"/>
      <c r="J43" s="301"/>
      <c r="K43" s="227"/>
      <c r="L43" s="25"/>
      <c r="M43" s="25"/>
      <c r="Y43" s="643">
        <f>E43</f>
        <v>0</v>
      </c>
      <c r="Z43" s="837"/>
      <c r="AA43" s="495">
        <f t="shared" ref="AA43:AA44" si="23">1-Z43</f>
        <v>1</v>
      </c>
      <c r="AB43" s="493"/>
      <c r="AC43" s="644">
        <f>K43</f>
        <v>0</v>
      </c>
      <c r="AD43" s="837"/>
      <c r="AE43" s="264">
        <f>1-AD43</f>
        <v>1</v>
      </c>
      <c r="AG43" s="415">
        <f>E43*Z43</f>
        <v>0</v>
      </c>
      <c r="AH43" s="415">
        <f>E43*AA43</f>
        <v>0</v>
      </c>
      <c r="AI43" s="262"/>
      <c r="AJ43" s="656">
        <f>K43*AD43</f>
        <v>0</v>
      </c>
      <c r="AK43" s="656">
        <f>K43*AE43</f>
        <v>0</v>
      </c>
      <c r="AL43" s="262"/>
      <c r="AM43" s="656">
        <f t="shared" ref="AM43:AN44" si="24">AG43+AJ43</f>
        <v>0</v>
      </c>
      <c r="AN43" s="656">
        <f t="shared" si="24"/>
        <v>0</v>
      </c>
      <c r="AO43" s="656">
        <f t="shared" ref="AO43:AO45" si="25">SUM(AM43:AN43)</f>
        <v>0</v>
      </c>
    </row>
    <row r="44" spans="1:41" ht="16.5" customHeight="1" x14ac:dyDescent="0.25">
      <c r="A44" s="910"/>
      <c r="B44" s="226"/>
      <c r="C44" s="301"/>
      <c r="D44" s="866"/>
      <c r="E44" s="227"/>
      <c r="F44" s="261"/>
      <c r="G44" s="261"/>
      <c r="H44" s="301"/>
      <c r="I44" s="345"/>
      <c r="J44" s="296" t="s">
        <v>260</v>
      </c>
      <c r="K44" s="382">
        <v>0</v>
      </c>
      <c r="L44" s="25"/>
      <c r="M44" s="25"/>
      <c r="Y44" s="643">
        <f>E44</f>
        <v>0</v>
      </c>
      <c r="Z44" s="837"/>
      <c r="AA44" s="495">
        <f t="shared" si="23"/>
        <v>1</v>
      </c>
      <c r="AB44" s="493"/>
      <c r="AC44" s="263">
        <v>0</v>
      </c>
      <c r="AD44" s="263">
        <v>0</v>
      </c>
      <c r="AE44" s="273"/>
      <c r="AG44" s="420">
        <f>E44*Z44</f>
        <v>0</v>
      </c>
      <c r="AH44" s="420">
        <f>E44*AA44</f>
        <v>0</v>
      </c>
      <c r="AJ44" s="297">
        <v>0</v>
      </c>
      <c r="AK44" s="297">
        <v>0</v>
      </c>
      <c r="AL44" s="262"/>
      <c r="AM44" s="420">
        <f t="shared" si="24"/>
        <v>0</v>
      </c>
      <c r="AN44" s="420">
        <f t="shared" si="24"/>
        <v>0</v>
      </c>
      <c r="AO44" s="420">
        <f t="shared" si="25"/>
        <v>0</v>
      </c>
    </row>
    <row r="45" spans="1:41" ht="16.5" customHeight="1" thickBot="1" x14ac:dyDescent="0.3">
      <c r="A45" s="574" t="s">
        <v>12</v>
      </c>
      <c r="B45" s="574"/>
      <c r="C45" s="574"/>
      <c r="D45" s="574"/>
      <c r="E45" s="574"/>
      <c r="F45" s="574"/>
      <c r="G45" s="574"/>
      <c r="H45" s="574"/>
      <c r="I45" s="574"/>
      <c r="J45" s="651"/>
      <c r="K45" s="384">
        <f>SUM(E42:E44)+SUM(K42:K44)</f>
        <v>0</v>
      </c>
      <c r="L45" s="174"/>
      <c r="M45" s="174"/>
      <c r="Y45" s="492"/>
      <c r="Z45" s="272"/>
      <c r="AA45" s="272"/>
      <c r="AB45" s="493"/>
      <c r="AC45" s="493"/>
      <c r="AD45" s="272"/>
      <c r="AE45" s="273"/>
      <c r="AG45" s="656">
        <f t="shared" ref="AG45:AK45" si="26">SUM(AG42:AG44)</f>
        <v>0</v>
      </c>
      <c r="AH45" s="656">
        <f t="shared" si="26"/>
        <v>0</v>
      </c>
      <c r="AI45" s="656"/>
      <c r="AJ45" s="656">
        <f t="shared" si="26"/>
        <v>0</v>
      </c>
      <c r="AK45" s="656">
        <f t="shared" si="26"/>
        <v>0</v>
      </c>
      <c r="AL45" s="656"/>
      <c r="AM45" s="656">
        <f>SUM(AM42:AM44)</f>
        <v>0</v>
      </c>
      <c r="AN45" s="656">
        <f>SUM(AN42:AN44)</f>
        <v>0</v>
      </c>
      <c r="AO45" s="706">
        <f t="shared" si="25"/>
        <v>0</v>
      </c>
    </row>
    <row r="46" spans="1:41" ht="16.5" customHeight="1" x14ac:dyDescent="0.25">
      <c r="A46" s="910"/>
      <c r="B46" s="226"/>
      <c r="C46" s="301"/>
      <c r="D46" s="866"/>
      <c r="E46" s="301"/>
      <c r="F46" s="261"/>
      <c r="G46" s="261"/>
      <c r="H46" s="346"/>
      <c r="I46" s="301"/>
      <c r="J46" s="301"/>
      <c r="K46" s="338"/>
      <c r="L46" s="180"/>
      <c r="M46" s="180"/>
      <c r="Y46" s="494" t="s">
        <v>34</v>
      </c>
      <c r="Z46" s="272" t="s">
        <v>203</v>
      </c>
      <c r="AA46" s="272" t="s">
        <v>204</v>
      </c>
      <c r="AB46" s="493"/>
      <c r="AC46" s="236" t="s">
        <v>34</v>
      </c>
      <c r="AD46" s="272" t="s">
        <v>203</v>
      </c>
      <c r="AE46" s="273" t="s">
        <v>204</v>
      </c>
      <c r="AG46" s="236" t="s">
        <v>34</v>
      </c>
      <c r="AM46" s="708"/>
      <c r="AN46" s="706"/>
    </row>
    <row r="47" spans="1:41" ht="16.5" customHeight="1" x14ac:dyDescent="0.25">
      <c r="A47" s="341" t="s">
        <v>15</v>
      </c>
      <c r="B47" s="342"/>
      <c r="C47" s="301"/>
      <c r="D47" s="866"/>
      <c r="E47" s="337" t="s">
        <v>159</v>
      </c>
      <c r="F47" s="261"/>
      <c r="G47" s="261"/>
      <c r="H47" s="301"/>
      <c r="I47" s="301"/>
      <c r="J47" s="301"/>
      <c r="K47" s="903" t="s">
        <v>160</v>
      </c>
      <c r="L47" s="181"/>
      <c r="M47" s="181"/>
      <c r="Y47" s="494" t="s">
        <v>167</v>
      </c>
      <c r="Z47" s="278" t="s">
        <v>136</v>
      </c>
      <c r="AA47" s="278" t="s">
        <v>137</v>
      </c>
      <c r="AB47" s="493"/>
      <c r="AC47" s="236" t="s">
        <v>167</v>
      </c>
      <c r="AD47" s="278" t="s">
        <v>136</v>
      </c>
      <c r="AE47" s="279" t="s">
        <v>137</v>
      </c>
    </row>
    <row r="48" spans="1:41" ht="16.5" customHeight="1" x14ac:dyDescent="0.25">
      <c r="A48" s="910"/>
      <c r="B48" s="226"/>
      <c r="C48" s="301"/>
      <c r="D48" s="866"/>
      <c r="E48" s="227"/>
      <c r="F48" s="261"/>
      <c r="G48" s="261"/>
      <c r="H48" s="301"/>
      <c r="I48" s="301"/>
      <c r="J48" s="301"/>
      <c r="K48" s="227"/>
      <c r="L48" s="25"/>
      <c r="M48" s="25"/>
      <c r="Y48" s="643">
        <f>E48</f>
        <v>0</v>
      </c>
      <c r="Z48" s="837"/>
      <c r="AA48" s="495">
        <f>1-Z48</f>
        <v>1</v>
      </c>
      <c r="AB48" s="493"/>
      <c r="AC48" s="644">
        <f>K48</f>
        <v>0</v>
      </c>
      <c r="AD48" s="837"/>
      <c r="AE48" s="264">
        <f>1-AD48</f>
        <v>1</v>
      </c>
      <c r="AG48" s="656">
        <f>E48*Z48</f>
        <v>0</v>
      </c>
      <c r="AH48" s="656">
        <f>E48*AA48</f>
        <v>0</v>
      </c>
      <c r="AJ48" s="656">
        <f>K48*AD48</f>
        <v>0</v>
      </c>
      <c r="AK48" s="656">
        <f>K48*AE48</f>
        <v>0</v>
      </c>
      <c r="AM48" s="656">
        <f>AG48+AJ48</f>
        <v>0</v>
      </c>
      <c r="AN48" s="656">
        <f>AH48+AK48</f>
        <v>0</v>
      </c>
      <c r="AO48" s="656">
        <f>SUM(AM48:AN48)</f>
        <v>0</v>
      </c>
    </row>
    <row r="49" spans="1:41" ht="16.5" customHeight="1" x14ac:dyDescent="0.25">
      <c r="A49" s="910"/>
      <c r="B49" s="226"/>
      <c r="C49" s="301"/>
      <c r="D49" s="866"/>
      <c r="E49" s="227"/>
      <c r="F49" s="261"/>
      <c r="G49" s="261"/>
      <c r="H49" s="301"/>
      <c r="I49" s="345"/>
      <c r="J49" s="296" t="s">
        <v>261</v>
      </c>
      <c r="K49" s="382">
        <v>0</v>
      </c>
      <c r="L49" s="25"/>
      <c r="M49" s="25"/>
      <c r="Y49" s="643">
        <f>E49</f>
        <v>0</v>
      </c>
      <c r="Z49" s="837"/>
      <c r="AA49" s="495">
        <f>1-Z49</f>
        <v>1</v>
      </c>
      <c r="AB49" s="493"/>
      <c r="AC49" s="263">
        <v>0</v>
      </c>
      <c r="AD49" s="263">
        <v>0</v>
      </c>
      <c r="AE49" s="273"/>
      <c r="AG49" s="420">
        <f>E49*Z49</f>
        <v>0</v>
      </c>
      <c r="AH49" s="420">
        <f>E49*AA49</f>
        <v>0</v>
      </c>
      <c r="AJ49" s="297">
        <v>0</v>
      </c>
      <c r="AK49" s="297">
        <v>0</v>
      </c>
      <c r="AM49" s="420">
        <f>AG49+AJ49</f>
        <v>0</v>
      </c>
      <c r="AN49" s="420">
        <f>AH49+AK49</f>
        <v>0</v>
      </c>
      <c r="AO49" s="420">
        <f>SUM(AM49:AN49)</f>
        <v>0</v>
      </c>
    </row>
    <row r="50" spans="1:41" ht="16.5" customHeight="1" thickBot="1" x14ac:dyDescent="0.3">
      <c r="A50" s="910" t="s">
        <v>16</v>
      </c>
      <c r="B50" s="226"/>
      <c r="C50" s="301"/>
      <c r="D50" s="301"/>
      <c r="E50" s="301"/>
      <c r="F50" s="261"/>
      <c r="G50" s="261"/>
      <c r="H50" s="301"/>
      <c r="I50" s="301"/>
      <c r="J50" s="301"/>
      <c r="K50" s="383">
        <f>SUM(E48:E49)+ SUM(K48:K49)</f>
        <v>0</v>
      </c>
      <c r="L50" s="174"/>
      <c r="M50" s="174"/>
      <c r="Y50" s="492"/>
      <c r="Z50" s="272"/>
      <c r="AA50" s="272"/>
      <c r="AB50" s="493"/>
      <c r="AC50" s="493"/>
      <c r="AD50" s="272"/>
      <c r="AE50" s="273"/>
      <c r="AG50" s="656">
        <f>SUM(AG48:AG49)</f>
        <v>0</v>
      </c>
      <c r="AH50" s="656">
        <f>SUM(AH48:AH49)</f>
        <v>0</v>
      </c>
      <c r="AJ50" s="656">
        <f>AJ48+AJ49</f>
        <v>0</v>
      </c>
      <c r="AK50" s="656">
        <f>AK48+AK49</f>
        <v>0</v>
      </c>
      <c r="AM50" s="656">
        <f>SUM(AM48:AM49)</f>
        <v>0</v>
      </c>
      <c r="AN50" s="656">
        <f>SUM(AN48:AN49)</f>
        <v>0</v>
      </c>
      <c r="AO50" s="706">
        <f>SUM(AM50:AN50)</f>
        <v>0</v>
      </c>
    </row>
    <row r="51" spans="1:41" ht="16.5" customHeight="1" x14ac:dyDescent="0.25">
      <c r="A51" s="910"/>
      <c r="B51" s="226"/>
      <c r="C51" s="301"/>
      <c r="D51" s="301"/>
      <c r="E51" s="301"/>
      <c r="F51" s="261"/>
      <c r="G51" s="261"/>
      <c r="H51" s="301"/>
      <c r="I51" s="301"/>
      <c r="J51" s="301"/>
      <c r="K51" s="338"/>
      <c r="L51" s="180"/>
      <c r="M51" s="180"/>
      <c r="Y51" s="492"/>
      <c r="Z51" s="272"/>
      <c r="AA51" s="272"/>
      <c r="AB51" s="493"/>
      <c r="AC51" s="493"/>
      <c r="AD51" s="272"/>
      <c r="AE51" s="273"/>
      <c r="AM51" s="708"/>
      <c r="AN51" s="706"/>
    </row>
    <row r="52" spans="1:41" ht="16.5" customHeight="1" x14ac:dyDescent="0.25">
      <c r="A52" s="344" t="s">
        <v>29</v>
      </c>
      <c r="B52" s="347"/>
      <c r="C52" s="301"/>
      <c r="D52" s="301"/>
      <c r="E52" s="337" t="s">
        <v>159</v>
      </c>
      <c r="F52" s="326"/>
      <c r="G52" s="326"/>
      <c r="H52" s="301"/>
      <c r="I52" s="301"/>
      <c r="J52" s="301"/>
      <c r="K52" s="903" t="s">
        <v>160</v>
      </c>
      <c r="L52" s="181"/>
      <c r="M52" s="181"/>
      <c r="Y52" s="492"/>
      <c r="Z52" s="272"/>
      <c r="AA52" s="272"/>
      <c r="AB52" s="493"/>
      <c r="AC52" s="493"/>
      <c r="AD52" s="272"/>
      <c r="AE52" s="273"/>
    </row>
    <row r="53" spans="1:41" ht="16.5" customHeight="1" x14ac:dyDescent="0.25">
      <c r="A53" s="910"/>
      <c r="B53" s="348"/>
      <c r="C53" s="349"/>
      <c r="D53" s="350"/>
      <c r="E53" s="227"/>
      <c r="F53" s="261"/>
      <c r="G53" s="261"/>
      <c r="H53" s="349"/>
      <c r="I53" s="301"/>
      <c r="J53" s="301"/>
      <c r="K53" s="385"/>
      <c r="L53" s="182"/>
      <c r="M53" s="182"/>
      <c r="Q53" s="246"/>
      <c r="R53" s="246"/>
      <c r="S53" s="246"/>
      <c r="T53" s="246"/>
      <c r="U53" s="246"/>
      <c r="V53" s="246"/>
      <c r="W53" s="246"/>
      <c r="X53" s="246"/>
      <c r="Y53" s="271"/>
      <c r="Z53" s="259"/>
      <c r="AA53" s="259"/>
      <c r="AB53" s="496"/>
      <c r="AC53" s="496"/>
      <c r="AD53" s="259"/>
      <c r="AE53" s="497"/>
    </row>
    <row r="54" spans="1:41" ht="16.5" customHeight="1" x14ac:dyDescent="0.25">
      <c r="A54" s="910"/>
      <c r="B54" s="348"/>
      <c r="C54" s="349"/>
      <c r="D54" s="350"/>
      <c r="E54" s="227"/>
      <c r="F54" s="261"/>
      <c r="G54" s="261"/>
      <c r="H54" s="349"/>
      <c r="I54" s="345"/>
      <c r="J54" s="296" t="s">
        <v>262</v>
      </c>
      <c r="K54" s="382">
        <v>0</v>
      </c>
      <c r="L54" s="25"/>
      <c r="M54" s="25"/>
      <c r="Q54" s="246"/>
      <c r="R54" s="246"/>
      <c r="S54" s="246"/>
      <c r="T54" s="246"/>
      <c r="U54" s="246"/>
      <c r="V54" s="246"/>
      <c r="W54" s="246"/>
      <c r="X54" s="246"/>
      <c r="Y54" s="271"/>
      <c r="Z54" s="259"/>
      <c r="AA54" s="259"/>
      <c r="AB54" s="496"/>
      <c r="AC54" s="496"/>
      <c r="AD54" s="272" t="s">
        <v>203</v>
      </c>
      <c r="AE54" s="273" t="s">
        <v>204</v>
      </c>
    </row>
    <row r="55" spans="1:41" ht="16.5" customHeight="1" thickBot="1" x14ac:dyDescent="0.35">
      <c r="A55" s="574" t="s">
        <v>30</v>
      </c>
      <c r="B55" s="574"/>
      <c r="C55" s="574"/>
      <c r="D55" s="574"/>
      <c r="E55" s="574"/>
      <c r="F55" s="574"/>
      <c r="G55" s="574"/>
      <c r="H55" s="574"/>
      <c r="I55" s="574"/>
      <c r="J55" s="651"/>
      <c r="K55" s="386">
        <f>SUM(E53:E54)+SUM(K53:K54)</f>
        <v>0</v>
      </c>
      <c r="L55" s="183"/>
      <c r="M55" s="183"/>
      <c r="N55" s="425" t="s">
        <v>45</v>
      </c>
      <c r="O55" s="425"/>
      <c r="Y55" s="271"/>
      <c r="Z55" s="276"/>
      <c r="AA55" s="276"/>
      <c r="AB55" s="262"/>
      <c r="AC55" s="262"/>
      <c r="AD55" s="278" t="s">
        <v>136</v>
      </c>
      <c r="AE55" s="279" t="s">
        <v>137</v>
      </c>
    </row>
    <row r="56" spans="1:41" ht="16.5" customHeight="1" x14ac:dyDescent="0.25">
      <c r="A56" s="910"/>
      <c r="B56" s="226"/>
      <c r="C56" s="350"/>
      <c r="D56" s="350"/>
      <c r="E56" s="350"/>
      <c r="F56" s="350"/>
      <c r="G56" s="350"/>
      <c r="H56" s="226"/>
      <c r="I56" s="226"/>
      <c r="J56" s="226"/>
      <c r="K56" s="338"/>
      <c r="L56" s="180"/>
      <c r="M56" s="180"/>
      <c r="Y56" s="1467"/>
      <c r="Z56" s="1468"/>
      <c r="AA56" s="498"/>
      <c r="AB56" s="262"/>
      <c r="AC56" s="1465" t="s">
        <v>160</v>
      </c>
      <c r="AD56" s="1465"/>
      <c r="AE56" s="1466"/>
    </row>
    <row r="57" spans="1:41" ht="16.5" customHeight="1" x14ac:dyDescent="0.25">
      <c r="A57" s="344" t="s">
        <v>68</v>
      </c>
      <c r="B57" s="342"/>
      <c r="C57" s="301"/>
      <c r="D57" s="301"/>
      <c r="E57" s="301"/>
      <c r="F57" s="301"/>
      <c r="G57" s="301"/>
      <c r="H57" s="262"/>
      <c r="I57" s="351" t="s">
        <v>72</v>
      </c>
      <c r="J57" s="351" t="s">
        <v>73</v>
      </c>
      <c r="K57" s="903" t="s">
        <v>160</v>
      </c>
      <c r="L57" s="181"/>
      <c r="M57" s="181"/>
      <c r="Y57" s="271"/>
      <c r="Z57" s="259"/>
      <c r="AA57" s="259"/>
      <c r="AB57" s="493"/>
      <c r="AC57" s="493"/>
      <c r="AD57" s="499" t="s">
        <v>171</v>
      </c>
      <c r="AE57" s="500"/>
      <c r="AF57" s="419"/>
      <c r="AH57" s="419"/>
      <c r="AJ57" s="499" t="s">
        <v>171</v>
      </c>
      <c r="AK57" s="419"/>
      <c r="AM57" s="419"/>
      <c r="AN57" s="419"/>
      <c r="AO57" s="419"/>
    </row>
    <row r="58" spans="1:41" ht="16.5" customHeight="1" x14ac:dyDescent="0.25">
      <c r="A58" s="910"/>
      <c r="B58" s="226"/>
      <c r="C58" s="301"/>
      <c r="D58" s="301"/>
      <c r="E58" s="301"/>
      <c r="F58" s="301"/>
      <c r="G58" s="301"/>
      <c r="H58" s="262"/>
      <c r="I58" s="352"/>
      <c r="J58" s="352"/>
      <c r="K58" s="513">
        <f>I58+J58</f>
        <v>0</v>
      </c>
      <c r="L58" s="25"/>
      <c r="M58" s="25"/>
      <c r="Y58" s="492"/>
      <c r="Z58" s="272"/>
      <c r="AA58" s="259"/>
      <c r="AB58" s="493"/>
      <c r="AC58" s="646">
        <f>K186</f>
        <v>0</v>
      </c>
      <c r="AD58" s="837"/>
      <c r="AE58" s="264">
        <f>1-AD58</f>
        <v>1</v>
      </c>
      <c r="AG58" s="656"/>
      <c r="AH58" s="656"/>
      <c r="AJ58" s="656">
        <f>K186*AD58</f>
        <v>0</v>
      </c>
      <c r="AK58" s="656">
        <f>K186*AE58</f>
        <v>0</v>
      </c>
      <c r="AM58" s="656">
        <f>AG58+AJ58</f>
        <v>0</v>
      </c>
      <c r="AN58" s="656">
        <f>AH58+AK58</f>
        <v>0</v>
      </c>
      <c r="AO58" s="706">
        <f>AM58+AN58</f>
        <v>0</v>
      </c>
    </row>
    <row r="59" spans="1:41" ht="16.5" customHeight="1" x14ac:dyDescent="0.25">
      <c r="A59" s="910"/>
      <c r="B59" s="226"/>
      <c r="C59" s="301"/>
      <c r="D59" s="301"/>
      <c r="E59" s="301"/>
      <c r="F59" s="301"/>
      <c r="G59" s="301"/>
      <c r="H59" s="262"/>
      <c r="I59" s="352"/>
      <c r="J59" s="352"/>
      <c r="K59" s="513">
        <f>I59+J59</f>
        <v>0</v>
      </c>
      <c r="L59" s="25"/>
      <c r="M59" s="25"/>
      <c r="Y59" s="492"/>
      <c r="Z59" s="272"/>
      <c r="AA59" s="259"/>
      <c r="AB59" s="493"/>
      <c r="AC59" s="259"/>
      <c r="AD59" s="259"/>
      <c r="AE59" s="273"/>
    </row>
    <row r="60" spans="1:41" ht="16.5" customHeight="1" x14ac:dyDescent="0.25">
      <c r="A60" s="910"/>
      <c r="B60" s="226"/>
      <c r="C60" s="301"/>
      <c r="D60" s="301"/>
      <c r="E60" s="301"/>
      <c r="F60" s="301"/>
      <c r="G60" s="301"/>
      <c r="H60" s="262"/>
      <c r="I60" s="352"/>
      <c r="J60" s="352"/>
      <c r="K60" s="513">
        <f>I60+J60</f>
        <v>0</v>
      </c>
      <c r="L60" s="25"/>
      <c r="M60" s="25"/>
      <c r="Y60" s="492"/>
      <c r="Z60" s="272"/>
      <c r="AA60" s="259"/>
      <c r="AB60" s="493"/>
      <c r="AC60" s="259"/>
      <c r="AD60" s="272" t="s">
        <v>203</v>
      </c>
      <c r="AE60" s="273" t="s">
        <v>204</v>
      </c>
    </row>
    <row r="61" spans="1:41" ht="16.5" customHeight="1" x14ac:dyDescent="0.25">
      <c r="A61" s="353" t="s">
        <v>175</v>
      </c>
      <c r="B61" s="354"/>
      <c r="C61" s="355"/>
      <c r="D61" s="355"/>
      <c r="E61" s="355"/>
      <c r="F61" s="355"/>
      <c r="G61" s="355"/>
      <c r="H61" s="356"/>
      <c r="I61" s="357"/>
      <c r="J61" s="358"/>
      <c r="K61" s="513">
        <f>I61+J61</f>
        <v>0</v>
      </c>
      <c r="L61" s="25"/>
      <c r="M61" s="25"/>
      <c r="Y61" s="492"/>
      <c r="Z61" s="272"/>
      <c r="AA61" s="259"/>
      <c r="AB61" s="493"/>
      <c r="AC61" s="502"/>
      <c r="AD61" s="502" t="s">
        <v>172</v>
      </c>
      <c r="AE61" s="273"/>
      <c r="AJ61" s="502" t="s">
        <v>172</v>
      </c>
    </row>
    <row r="62" spans="1:41" ht="17.25" customHeight="1" x14ac:dyDescent="0.25">
      <c r="A62" s="293"/>
      <c r="B62" s="294"/>
      <c r="C62" s="295"/>
      <c r="D62" s="295"/>
      <c r="E62" s="295"/>
      <c r="F62" s="295"/>
      <c r="G62" s="295"/>
      <c r="H62" s="296" t="s">
        <v>224</v>
      </c>
      <c r="I62" s="297">
        <v>0</v>
      </c>
      <c r="J62" s="297">
        <v>0</v>
      </c>
      <c r="K62" s="515">
        <f>I62+J62</f>
        <v>0</v>
      </c>
      <c r="L62" s="25"/>
      <c r="M62" s="25"/>
      <c r="Y62" s="492"/>
      <c r="Z62" s="272"/>
      <c r="AA62" s="259"/>
      <c r="AB62" s="493"/>
      <c r="AC62" s="647">
        <f>K129</f>
        <v>0</v>
      </c>
      <c r="AD62" s="837"/>
      <c r="AE62" s="264">
        <f>1-AD62</f>
        <v>1</v>
      </c>
      <c r="AJ62" s="713">
        <f>K129*AD62</f>
        <v>0</v>
      </c>
      <c r="AK62" s="866">
        <f>K129*AE62</f>
        <v>0</v>
      </c>
      <c r="AM62" s="656">
        <f>AG62+AJ62</f>
        <v>0</v>
      </c>
      <c r="AN62" s="866">
        <f>AH62+AK62</f>
        <v>0</v>
      </c>
      <c r="AO62" s="706">
        <f>AM62+AN62</f>
        <v>0</v>
      </c>
    </row>
    <row r="63" spans="1:41" ht="16.5" customHeight="1" thickBot="1" x14ac:dyDescent="0.35">
      <c r="A63" s="652" t="s">
        <v>47</v>
      </c>
      <c r="B63" s="652"/>
      <c r="C63" s="652"/>
      <c r="D63" s="652"/>
      <c r="E63" s="652"/>
      <c r="F63" s="652"/>
      <c r="G63" s="652"/>
      <c r="H63" s="652"/>
      <c r="I63" s="387">
        <f>SUM(I58:I62)</f>
        <v>0</v>
      </c>
      <c r="J63" s="299">
        <f>SUM(J58:J62)</f>
        <v>0</v>
      </c>
      <c r="K63" s="388">
        <f>SUM(K58:K62)</f>
        <v>0</v>
      </c>
      <c r="L63" s="175"/>
      <c r="M63" s="175"/>
      <c r="N63" s="425" t="s">
        <v>140</v>
      </c>
      <c r="O63" s="425"/>
      <c r="Y63" s="494" t="s">
        <v>170</v>
      </c>
      <c r="Z63" s="272" t="s">
        <v>203</v>
      </c>
      <c r="AA63" s="272" t="s">
        <v>204</v>
      </c>
      <c r="AB63" s="493"/>
      <c r="AC63" s="236" t="s">
        <v>170</v>
      </c>
      <c r="AD63" s="272" t="s">
        <v>203</v>
      </c>
      <c r="AE63" s="273" t="s">
        <v>204</v>
      </c>
      <c r="AG63" s="419"/>
      <c r="AH63" s="419"/>
      <c r="AJ63" s="419"/>
      <c r="AK63" s="419"/>
      <c r="AM63" s="419"/>
      <c r="AN63" s="419"/>
      <c r="AO63" s="419"/>
    </row>
    <row r="64" spans="1:41" ht="16.5" customHeight="1" x14ac:dyDescent="0.25">
      <c r="A64" s="910"/>
      <c r="B64" s="226"/>
      <c r="C64" s="301"/>
      <c r="D64" s="301"/>
      <c r="E64" s="301"/>
      <c r="F64" s="301"/>
      <c r="G64" s="301"/>
      <c r="H64" s="301"/>
      <c r="I64" s="301"/>
      <c r="J64" s="301"/>
      <c r="K64" s="338"/>
      <c r="L64" s="180"/>
      <c r="M64" s="180"/>
      <c r="Y64" s="274" t="s">
        <v>167</v>
      </c>
      <c r="Z64" s="278" t="s">
        <v>136</v>
      </c>
      <c r="AA64" s="278" t="s">
        <v>137</v>
      </c>
      <c r="AB64" s="493"/>
      <c r="AC64" s="275" t="s">
        <v>167</v>
      </c>
      <c r="AD64" s="278" t="s">
        <v>136</v>
      </c>
      <c r="AE64" s="278" t="s">
        <v>137</v>
      </c>
      <c r="AG64" s="617" t="s">
        <v>67</v>
      </c>
      <c r="AM64" s="708"/>
      <c r="AN64" s="656"/>
    </row>
    <row r="65" spans="1:52" ht="16.5" customHeight="1" x14ac:dyDescent="0.25">
      <c r="A65" s="341" t="s">
        <v>65</v>
      </c>
      <c r="B65" s="342"/>
      <c r="C65" s="301"/>
      <c r="D65" s="301"/>
      <c r="E65" s="337" t="s">
        <v>159</v>
      </c>
      <c r="F65" s="301"/>
      <c r="G65" s="301"/>
      <c r="H65" s="301"/>
      <c r="I65" s="301"/>
      <c r="J65" s="301"/>
      <c r="K65" s="903" t="s">
        <v>160</v>
      </c>
      <c r="L65" s="181"/>
      <c r="M65" s="181"/>
      <c r="Y65" s="1463" t="s">
        <v>159</v>
      </c>
      <c r="Z65" s="1464"/>
      <c r="AA65" s="501"/>
      <c r="AB65" s="493"/>
      <c r="AC65" s="1465" t="s">
        <v>160</v>
      </c>
      <c r="AD65" s="1465"/>
      <c r="AE65" s="1466"/>
    </row>
    <row r="66" spans="1:52" ht="16.5" customHeight="1" x14ac:dyDescent="0.25">
      <c r="A66" s="305"/>
      <c r="B66" s="359"/>
      <c r="C66" s="349"/>
      <c r="D66" s="301"/>
      <c r="E66" s="227"/>
      <c r="F66" s="261"/>
      <c r="G66" s="261"/>
      <c r="H66" s="261"/>
      <c r="I66" s="301"/>
      <c r="J66" s="301"/>
      <c r="K66" s="227"/>
      <c r="L66" s="25"/>
      <c r="M66" s="25"/>
      <c r="Y66" s="643">
        <f>E66</f>
        <v>0</v>
      </c>
      <c r="Z66" s="837"/>
      <c r="AA66" s="495">
        <f>1-Z66</f>
        <v>1</v>
      </c>
      <c r="AB66" s="493"/>
      <c r="AC66" s="644">
        <f>K66</f>
        <v>0</v>
      </c>
      <c r="AD66" s="837"/>
      <c r="AE66" s="264">
        <f>1-AD66</f>
        <v>1</v>
      </c>
      <c r="AG66" s="656">
        <f>E66*Z66</f>
        <v>0</v>
      </c>
      <c r="AH66" s="656">
        <f>E66*AA66</f>
        <v>0</v>
      </c>
      <c r="AJ66" s="656">
        <f t="shared" ref="AJ66:AJ71" si="27">K66*AD66</f>
        <v>0</v>
      </c>
      <c r="AK66" s="656">
        <f t="shared" ref="AK66:AK71" si="28">K66*AE66</f>
        <v>0</v>
      </c>
      <c r="AM66" s="656">
        <f>AG66+AJ66</f>
        <v>0</v>
      </c>
      <c r="AN66" s="656">
        <f>AH66+AK66</f>
        <v>0</v>
      </c>
      <c r="AO66" s="656">
        <f>SUM(AM66:AN66)</f>
        <v>0</v>
      </c>
    </row>
    <row r="67" spans="1:52" ht="16.5" customHeight="1" x14ac:dyDescent="0.25">
      <c r="A67" s="305"/>
      <c r="B67" s="359"/>
      <c r="C67" s="349"/>
      <c r="D67" s="301"/>
      <c r="E67" s="227"/>
      <c r="F67" s="261"/>
      <c r="G67" s="261"/>
      <c r="H67" s="261"/>
      <c r="I67" s="301"/>
      <c r="J67" s="301"/>
      <c r="K67" s="227"/>
      <c r="L67" s="25"/>
      <c r="M67" s="25"/>
      <c r="Y67" s="643">
        <f>E67</f>
        <v>0</v>
      </c>
      <c r="Z67" s="837"/>
      <c r="AA67" s="495">
        <f t="shared" ref="AA67:AA70" si="29">1-Z67</f>
        <v>1</v>
      </c>
      <c r="AB67" s="493"/>
      <c r="AC67" s="644">
        <f>K67</f>
        <v>0</v>
      </c>
      <c r="AD67" s="837"/>
      <c r="AE67" s="264">
        <f t="shared" ref="AE67:AE74" si="30">1-AD67</f>
        <v>1</v>
      </c>
      <c r="AG67" s="656">
        <f>E67*Z67</f>
        <v>0</v>
      </c>
      <c r="AH67" s="656">
        <f>E67*AA67</f>
        <v>0</v>
      </c>
      <c r="AJ67" s="656">
        <f t="shared" si="27"/>
        <v>0</v>
      </c>
      <c r="AK67" s="656">
        <f t="shared" si="28"/>
        <v>0</v>
      </c>
      <c r="AM67" s="656">
        <f t="shared" ref="AM67:AN74" si="31">AG67+AJ67</f>
        <v>0</v>
      </c>
      <c r="AN67" s="656">
        <f t="shared" si="31"/>
        <v>0</v>
      </c>
      <c r="AO67" s="656">
        <f t="shared" ref="AO67:AO78" si="32">SUM(AM67:AN67)</f>
        <v>0</v>
      </c>
    </row>
    <row r="68" spans="1:52" ht="16.5" customHeight="1" x14ac:dyDescent="0.25">
      <c r="A68" s="305"/>
      <c r="B68" s="359"/>
      <c r="C68" s="349"/>
      <c r="D68" s="301"/>
      <c r="E68" s="227"/>
      <c r="F68" s="261"/>
      <c r="G68" s="261"/>
      <c r="H68" s="261"/>
      <c r="I68" s="301"/>
      <c r="J68" s="301"/>
      <c r="K68" s="227"/>
      <c r="L68" s="25"/>
      <c r="M68" s="25"/>
      <c r="Y68" s="643">
        <f>E68</f>
        <v>0</v>
      </c>
      <c r="Z68" s="837"/>
      <c r="AA68" s="495">
        <f t="shared" si="29"/>
        <v>1</v>
      </c>
      <c r="AB68" s="493"/>
      <c r="AC68" s="644">
        <f>K68</f>
        <v>0</v>
      </c>
      <c r="AD68" s="837"/>
      <c r="AE68" s="264">
        <f t="shared" si="30"/>
        <v>1</v>
      </c>
      <c r="AG68" s="656">
        <f>E68*Z68</f>
        <v>0</v>
      </c>
      <c r="AH68" s="656">
        <f>E68*AA68</f>
        <v>0</v>
      </c>
      <c r="AJ68" s="656">
        <f t="shared" si="27"/>
        <v>0</v>
      </c>
      <c r="AK68" s="656">
        <f t="shared" si="28"/>
        <v>0</v>
      </c>
      <c r="AM68" s="656">
        <f t="shared" si="31"/>
        <v>0</v>
      </c>
      <c r="AN68" s="656">
        <f t="shared" si="31"/>
        <v>0</v>
      </c>
      <c r="AO68" s="656">
        <f t="shared" si="32"/>
        <v>0</v>
      </c>
    </row>
    <row r="69" spans="1:52" ht="16.5" customHeight="1" x14ac:dyDescent="0.25">
      <c r="A69" s="305"/>
      <c r="B69" s="359"/>
      <c r="C69" s="349"/>
      <c r="D69" s="301"/>
      <c r="E69" s="227"/>
      <c r="F69" s="261"/>
      <c r="G69" s="261"/>
      <c r="H69" s="261"/>
      <c r="I69" s="301"/>
      <c r="J69" s="301"/>
      <c r="K69" s="227"/>
      <c r="L69" s="25"/>
      <c r="M69" s="25"/>
      <c r="Y69" s="643">
        <f>E69</f>
        <v>0</v>
      </c>
      <c r="Z69" s="837"/>
      <c r="AA69" s="495">
        <f t="shared" si="29"/>
        <v>1</v>
      </c>
      <c r="AB69" s="493"/>
      <c r="AC69" s="644">
        <f>K69</f>
        <v>0</v>
      </c>
      <c r="AD69" s="837"/>
      <c r="AE69" s="264">
        <f t="shared" si="30"/>
        <v>1</v>
      </c>
      <c r="AG69" s="656">
        <f>E69*Z69</f>
        <v>0</v>
      </c>
      <c r="AH69" s="656">
        <f>E69*AA69</f>
        <v>0</v>
      </c>
      <c r="AJ69" s="656">
        <f t="shared" si="27"/>
        <v>0</v>
      </c>
      <c r="AK69" s="656">
        <f t="shared" si="28"/>
        <v>0</v>
      </c>
      <c r="AM69" s="656">
        <f t="shared" si="31"/>
        <v>0</v>
      </c>
      <c r="AN69" s="656">
        <f t="shared" si="31"/>
        <v>0</v>
      </c>
      <c r="AO69" s="656">
        <f t="shared" si="32"/>
        <v>0</v>
      </c>
    </row>
    <row r="70" spans="1:52" ht="16.5" customHeight="1" x14ac:dyDescent="0.25">
      <c r="A70" s="305"/>
      <c r="B70" s="359"/>
      <c r="C70" s="349"/>
      <c r="D70" s="301"/>
      <c r="E70" s="227"/>
      <c r="F70" s="261"/>
      <c r="G70" s="261"/>
      <c r="H70" s="261"/>
      <c r="I70" s="301"/>
      <c r="J70" s="301"/>
      <c r="K70" s="227"/>
      <c r="L70" s="25"/>
      <c r="M70" s="25"/>
      <c r="N70" s="326"/>
      <c r="O70" s="326"/>
      <c r="P70" s="326"/>
      <c r="Q70" s="326"/>
      <c r="R70" s="326"/>
      <c r="S70" s="326"/>
      <c r="T70" s="326"/>
      <c r="U70" s="326"/>
      <c r="V70" s="326"/>
      <c r="W70" s="326"/>
      <c r="X70" s="326"/>
      <c r="Y70" s="648">
        <f>E70</f>
        <v>0</v>
      </c>
      <c r="Z70" s="837"/>
      <c r="AA70" s="649">
        <f t="shared" si="29"/>
        <v>1</v>
      </c>
      <c r="AB70" s="496"/>
      <c r="AC70" s="644">
        <f>K70</f>
        <v>0</v>
      </c>
      <c r="AD70" s="837"/>
      <c r="AE70" s="264">
        <f t="shared" si="30"/>
        <v>1</v>
      </c>
      <c r="AG70" s="656">
        <f>E70*Z70</f>
        <v>0</v>
      </c>
      <c r="AH70" s="656">
        <f>E70*AA70</f>
        <v>0</v>
      </c>
      <c r="AJ70" s="656">
        <f t="shared" si="27"/>
        <v>0</v>
      </c>
      <c r="AK70" s="656">
        <f t="shared" si="28"/>
        <v>0</v>
      </c>
      <c r="AM70" s="656">
        <f t="shared" si="31"/>
        <v>0</v>
      </c>
      <c r="AN70" s="656">
        <f t="shared" si="31"/>
        <v>0</v>
      </c>
      <c r="AO70" s="656">
        <f t="shared" si="32"/>
        <v>0</v>
      </c>
    </row>
    <row r="71" spans="1:52" s="56" customFormat="1" ht="4.5" customHeight="1" x14ac:dyDescent="0.25">
      <c r="A71" s="360"/>
      <c r="B71" s="361"/>
      <c r="C71" s="362"/>
      <c r="D71" s="363"/>
      <c r="E71" s="363"/>
      <c r="F71" s="363"/>
      <c r="G71" s="363"/>
      <c r="H71" s="363"/>
      <c r="I71" s="364"/>
      <c r="J71" s="365"/>
      <c r="K71" s="389"/>
      <c r="L71" s="25"/>
      <c r="M71" s="25"/>
      <c r="N71" s="326"/>
      <c r="O71" s="326"/>
      <c r="P71" s="326"/>
      <c r="Q71" s="326"/>
      <c r="R71" s="326"/>
      <c r="S71" s="326"/>
      <c r="T71" s="326"/>
      <c r="U71" s="326"/>
      <c r="V71" s="326"/>
      <c r="W71" s="326"/>
      <c r="X71" s="326"/>
      <c r="Y71" s="271"/>
      <c r="Z71" s="259"/>
      <c r="AA71" s="259"/>
      <c r="AB71" s="496"/>
      <c r="AC71" s="698"/>
      <c r="AD71" s="503"/>
      <c r="AE71" s="273"/>
      <c r="AF71" s="325"/>
      <c r="AG71" s="656"/>
      <c r="AH71" s="656"/>
      <c r="AI71" s="325"/>
      <c r="AJ71" s="656">
        <f t="shared" si="27"/>
        <v>0</v>
      </c>
      <c r="AK71" s="656">
        <f t="shared" si="28"/>
        <v>0</v>
      </c>
      <c r="AL71" s="325"/>
      <c r="AM71" s="656">
        <f t="shared" si="31"/>
        <v>0</v>
      </c>
      <c r="AN71" s="656">
        <f t="shared" si="31"/>
        <v>0</v>
      </c>
      <c r="AO71" s="656">
        <f>SUM(AM71:AN71)</f>
        <v>0</v>
      </c>
      <c r="AP71" s="325"/>
      <c r="AQ71" s="325"/>
      <c r="AR71" s="325"/>
      <c r="AS71" s="325"/>
      <c r="AT71" s="325"/>
      <c r="AU71" s="325"/>
      <c r="AV71" s="325"/>
      <c r="AW71" s="325"/>
      <c r="AX71" s="325"/>
      <c r="AY71" s="325"/>
      <c r="AZ71" s="325"/>
    </row>
    <row r="72" spans="1:52" ht="16.5" customHeight="1" x14ac:dyDescent="0.25">
      <c r="A72" s="366" t="s">
        <v>134</v>
      </c>
      <c r="B72" s="367"/>
      <c r="C72" s="368"/>
      <c r="D72" s="369"/>
      <c r="E72" s="369"/>
      <c r="F72" s="369"/>
      <c r="G72" s="369"/>
      <c r="H72" s="369"/>
      <c r="I72" s="369"/>
      <c r="J72" s="369"/>
      <c r="K72" s="390" t="s">
        <v>433</v>
      </c>
      <c r="L72" s="184"/>
      <c r="M72" s="184"/>
      <c r="N72" s="326"/>
      <c r="O72" s="326"/>
      <c r="P72" s="326"/>
      <c r="Q72" s="326"/>
      <c r="R72" s="326"/>
      <c r="S72" s="326"/>
      <c r="T72" s="326"/>
      <c r="U72" s="326"/>
      <c r="V72" s="326"/>
      <c r="W72" s="326"/>
      <c r="X72" s="326"/>
      <c r="Y72" s="271"/>
      <c r="Z72" s="259"/>
      <c r="AA72" s="259"/>
      <c r="AB72" s="246"/>
      <c r="AC72" s="262"/>
      <c r="AD72" s="272"/>
      <c r="AE72" s="273"/>
      <c r="AG72" s="656"/>
      <c r="AH72" s="656"/>
      <c r="AJ72" s="656"/>
      <c r="AK72" s="656"/>
      <c r="AM72" s="656"/>
      <c r="AN72" s="656"/>
      <c r="AO72" s="656">
        <f t="shared" si="32"/>
        <v>0</v>
      </c>
    </row>
    <row r="73" spans="1:52" ht="16.5" customHeight="1" x14ac:dyDescent="0.25">
      <c r="A73" s="370" t="s">
        <v>139</v>
      </c>
      <c r="B73" s="305" t="str">
        <f>'Federal Grad Student'!A20</f>
        <v xml:space="preserve"> Direct Compensation</v>
      </c>
      <c r="C73" s="349"/>
      <c r="D73" s="301"/>
      <c r="E73" s="301"/>
      <c r="F73" s="301"/>
      <c r="G73" s="301"/>
      <c r="H73" s="261"/>
      <c r="I73" s="301"/>
      <c r="J73" s="301"/>
      <c r="K73" s="391">
        <f>IF($H$188="Yes", 'Federal Grad Student'!C272, 0)</f>
        <v>0</v>
      </c>
      <c r="L73" s="25"/>
      <c r="M73" s="25"/>
      <c r="N73" s="326"/>
      <c r="Y73" s="492"/>
      <c r="Z73" s="261"/>
      <c r="AA73" s="272"/>
      <c r="AB73" s="262"/>
      <c r="AC73" s="644">
        <f>K73</f>
        <v>0</v>
      </c>
      <c r="AD73" s="504"/>
      <c r="AE73" s="264">
        <f t="shared" si="30"/>
        <v>1</v>
      </c>
      <c r="AG73" s="656">
        <f>E73*Z73</f>
        <v>0</v>
      </c>
      <c r="AH73" s="656">
        <f>E73*AA73</f>
        <v>0</v>
      </c>
      <c r="AJ73" s="656">
        <f>K73*AD73</f>
        <v>0</v>
      </c>
      <c r="AK73" s="656">
        <f>K73*AE73</f>
        <v>0</v>
      </c>
      <c r="AM73" s="656">
        <f t="shared" si="31"/>
        <v>0</v>
      </c>
      <c r="AN73" s="656">
        <f t="shared" si="31"/>
        <v>0</v>
      </c>
      <c r="AO73" s="656">
        <f t="shared" si="32"/>
        <v>0</v>
      </c>
    </row>
    <row r="74" spans="1:52" ht="16.5" customHeight="1" x14ac:dyDescent="0.25">
      <c r="A74" s="371" t="s">
        <v>173</v>
      </c>
      <c r="B74" s="305" t="str">
        <f>'Federal Grad Student'!A21</f>
        <v xml:space="preserve"> Health Insurance</v>
      </c>
      <c r="C74" s="349"/>
      <c r="D74" s="301"/>
      <c r="E74" s="301"/>
      <c r="F74" s="301"/>
      <c r="G74" s="301"/>
      <c r="H74" s="261"/>
      <c r="I74" s="301"/>
      <c r="J74" s="301"/>
      <c r="K74" s="392">
        <f>IF($H$188="Yes", 'Federal Grad Student'!C273, 0)</f>
        <v>0</v>
      </c>
      <c r="L74" s="25"/>
      <c r="M74" s="25"/>
      <c r="N74" s="326"/>
      <c r="Y74" s="492"/>
      <c r="Z74" s="261"/>
      <c r="AA74" s="272"/>
      <c r="AB74" s="262"/>
      <c r="AC74" s="644">
        <f>K74</f>
        <v>0</v>
      </c>
      <c r="AD74" s="504"/>
      <c r="AE74" s="264">
        <f t="shared" si="30"/>
        <v>1</v>
      </c>
      <c r="AG74" s="656">
        <f>E74*Z74</f>
        <v>0</v>
      </c>
      <c r="AH74" s="656">
        <f>E74*AA74</f>
        <v>0</v>
      </c>
      <c r="AJ74" s="656">
        <f>K74*AD74</f>
        <v>0</v>
      </c>
      <c r="AK74" s="656">
        <f>K74*AE74</f>
        <v>0</v>
      </c>
      <c r="AM74" s="656">
        <f t="shared" si="31"/>
        <v>0</v>
      </c>
      <c r="AN74" s="656">
        <f t="shared" si="31"/>
        <v>0</v>
      </c>
      <c r="AO74" s="656">
        <f t="shared" si="32"/>
        <v>0</v>
      </c>
    </row>
    <row r="75" spans="1:52" ht="16.5" customHeight="1" x14ac:dyDescent="0.3">
      <c r="A75" s="372" t="s">
        <v>174</v>
      </c>
      <c r="B75" s="373" t="str">
        <f>'Federal Grad Student'!A22</f>
        <v xml:space="preserve"> Tuition/Fees</v>
      </c>
      <c r="C75" s="374"/>
      <c r="D75" s="375"/>
      <c r="E75" s="375"/>
      <c r="F75" s="375"/>
      <c r="G75" s="375"/>
      <c r="H75" s="358"/>
      <c r="I75" s="375"/>
      <c r="J75" s="375"/>
      <c r="K75" s="393">
        <f>IF($H$188="Yes", 'Federal Grad Student'!C274, 0)</f>
        <v>0</v>
      </c>
      <c r="L75" s="25"/>
      <c r="M75" s="25"/>
      <c r="N75" s="425" t="s">
        <v>45</v>
      </c>
      <c r="O75" s="425"/>
      <c r="Y75" s="492"/>
      <c r="Z75" s="261"/>
      <c r="AA75" s="272"/>
      <c r="AB75" s="262"/>
      <c r="AC75" s="262"/>
      <c r="AD75" s="261"/>
      <c r="AE75" s="273"/>
      <c r="AG75" s="419"/>
      <c r="AH75" s="419"/>
      <c r="AJ75" s="420"/>
      <c r="AK75" s="420"/>
      <c r="AM75" s="420"/>
      <c r="AN75" s="420"/>
      <c r="AO75" s="420"/>
    </row>
    <row r="76" spans="1:52" ht="4.5" customHeight="1" x14ac:dyDescent="0.3">
      <c r="A76" s="376"/>
      <c r="B76" s="305"/>
      <c r="C76" s="349"/>
      <c r="D76" s="301"/>
      <c r="E76" s="301"/>
      <c r="F76" s="301"/>
      <c r="G76" s="301"/>
      <c r="H76" s="261"/>
      <c r="I76" s="375"/>
      <c r="J76" s="375"/>
      <c r="K76" s="608"/>
      <c r="L76" s="25"/>
      <c r="M76" s="25"/>
      <c r="N76" s="425"/>
      <c r="O76" s="425"/>
      <c r="Y76" s="492"/>
      <c r="Z76" s="261"/>
      <c r="AA76" s="272"/>
      <c r="AB76" s="262"/>
      <c r="AC76" s="262"/>
      <c r="AD76" s="261"/>
      <c r="AE76" s="273"/>
      <c r="AG76" s="262"/>
      <c r="AH76" s="262"/>
      <c r="AJ76" s="718"/>
      <c r="AK76" s="718"/>
      <c r="AM76" s="415"/>
      <c r="AN76" s="415"/>
      <c r="AO76" s="415">
        <f t="shared" si="32"/>
        <v>0</v>
      </c>
    </row>
    <row r="77" spans="1:52" ht="21.75" customHeight="1" x14ac:dyDescent="0.3">
      <c r="A77" s="377" t="s">
        <v>218</v>
      </c>
      <c r="B77" s="378"/>
      <c r="C77" s="379"/>
      <c r="D77" s="380"/>
      <c r="E77" s="379"/>
      <c r="F77" s="380"/>
      <c r="G77" s="227"/>
      <c r="H77" s="381" t="s">
        <v>45</v>
      </c>
      <c r="I77" s="345"/>
      <c r="J77" s="296" t="s">
        <v>263</v>
      </c>
      <c r="K77" s="487">
        <v>0</v>
      </c>
      <c r="L77" s="25"/>
      <c r="M77" s="25"/>
      <c r="Y77" s="505"/>
      <c r="Z77" s="506"/>
      <c r="AA77" s="507"/>
      <c r="AB77" s="508"/>
      <c r="AC77" s="508"/>
      <c r="AD77" s="297">
        <v>0</v>
      </c>
      <c r="AE77" s="500"/>
      <c r="AJ77" s="719">
        <v>0</v>
      </c>
      <c r="AK77" s="719">
        <v>0</v>
      </c>
      <c r="AM77" s="720"/>
      <c r="AN77" s="720"/>
      <c r="AO77" s="415">
        <f t="shared" si="32"/>
        <v>0</v>
      </c>
    </row>
    <row r="78" spans="1:52" ht="16.5" customHeight="1" thickBot="1" x14ac:dyDescent="0.3">
      <c r="A78" s="652" t="s">
        <v>66</v>
      </c>
      <c r="B78" s="652"/>
      <c r="C78" s="652"/>
      <c r="D78" s="652"/>
      <c r="E78" s="652"/>
      <c r="F78" s="652"/>
      <c r="G78" s="652"/>
      <c r="H78" s="652"/>
      <c r="I78" s="652"/>
      <c r="J78" s="653"/>
      <c r="K78" s="395">
        <f>SUM(E66:E70)+SUM(K66:K70)+SUM(K73:K75)+G77+K77</f>
        <v>0</v>
      </c>
      <c r="L78" s="175"/>
      <c r="M78" s="175"/>
      <c r="AG78" s="656">
        <f>SUM(AG66:AG75)</f>
        <v>0</v>
      </c>
      <c r="AH78" s="656">
        <f>SUM(AH66:AH75)</f>
        <v>0</v>
      </c>
      <c r="AJ78" s="656">
        <f>SUM(AJ66:AJ75)</f>
        <v>0</v>
      </c>
      <c r="AK78" s="656">
        <f>SUM(AK66:AK75)</f>
        <v>0</v>
      </c>
      <c r="AM78" s="656">
        <f>SUM(AM66:AM75)</f>
        <v>0</v>
      </c>
      <c r="AN78" s="656">
        <f>SUM(AN66:AN75)</f>
        <v>0</v>
      </c>
      <c r="AO78" s="722">
        <f t="shared" si="32"/>
        <v>0</v>
      </c>
      <c r="AP78" s="762"/>
    </row>
    <row r="79" spans="1:52" ht="16.5" customHeight="1" x14ac:dyDescent="0.25">
      <c r="A79" s="910"/>
      <c r="B79" s="226"/>
      <c r="C79" s="301"/>
      <c r="D79" s="301"/>
      <c r="E79" s="301"/>
      <c r="F79" s="301"/>
      <c r="G79" s="301"/>
      <c r="H79" s="301"/>
      <c r="I79" s="301"/>
      <c r="J79" s="301"/>
      <c r="K79" s="396"/>
      <c r="L79" s="180"/>
      <c r="M79" s="180"/>
      <c r="AM79" s="708"/>
      <c r="AN79" s="706"/>
    </row>
    <row r="80" spans="1:52" ht="16.5" customHeight="1" x14ac:dyDescent="0.25">
      <c r="A80" s="428" t="s">
        <v>74</v>
      </c>
      <c r="B80" s="429"/>
      <c r="C80" s="301"/>
      <c r="D80" s="301"/>
      <c r="E80" s="301"/>
      <c r="F80" s="301"/>
      <c r="G80" s="301"/>
      <c r="H80" s="301"/>
      <c r="I80" s="301"/>
      <c r="J80" s="301"/>
      <c r="K80" s="397">
        <f>SUM(K29,K34,K39,K45,K50,K55,K63,K78)</f>
        <v>0</v>
      </c>
      <c r="L80" s="175"/>
      <c r="M80" s="175"/>
      <c r="AK80" s="708" t="s">
        <v>165</v>
      </c>
      <c r="AM80" s="706">
        <f>AM29+AM39+AM45+AM50+AM58+AM62+AM78</f>
        <v>0</v>
      </c>
      <c r="AN80" s="706">
        <f>AN29+AN39+AN45+AN50+AN58+AN62+AN78</f>
        <v>0</v>
      </c>
      <c r="AO80" s="706">
        <f>AO29+AO39+AO45+AO50+AO58+AO62+AO78</f>
        <v>0</v>
      </c>
      <c r="AP80" s="509">
        <f>I101</f>
        <v>0</v>
      </c>
      <c r="AQ80" s="509">
        <f>AP80-AO80</f>
        <v>0</v>
      </c>
    </row>
    <row r="81" spans="1:49" ht="16.5" customHeight="1" x14ac:dyDescent="0.25">
      <c r="A81" s="428"/>
      <c r="B81" s="429"/>
      <c r="C81" s="301"/>
      <c r="D81" s="301"/>
      <c r="E81" s="301"/>
      <c r="F81" s="301"/>
      <c r="G81" s="301"/>
      <c r="H81" s="301"/>
      <c r="I81" s="301"/>
      <c r="J81" s="301"/>
      <c r="K81" s="338"/>
      <c r="L81" s="180"/>
      <c r="M81" s="180"/>
      <c r="AK81" s="866" t="s">
        <v>179</v>
      </c>
      <c r="AM81" s="482">
        <f>I90</f>
        <v>0</v>
      </c>
      <c r="AN81" s="482">
        <f>I94</f>
        <v>0</v>
      </c>
      <c r="AO81" s="723" t="e">
        <f>(AM81*AM83)+(AN81*AN83)</f>
        <v>#DIV/0!</v>
      </c>
    </row>
    <row r="82" spans="1:49" ht="16.5" customHeight="1" x14ac:dyDescent="0.25">
      <c r="A82" s="341" t="s">
        <v>23</v>
      </c>
      <c r="B82" s="342"/>
      <c r="C82" s="301"/>
      <c r="D82" s="301"/>
      <c r="E82" s="301"/>
      <c r="F82" s="301"/>
      <c r="G82" s="301"/>
      <c r="H82" s="301"/>
      <c r="I82" s="301"/>
      <c r="J82" s="301"/>
      <c r="K82" s="338"/>
      <c r="L82" s="180"/>
      <c r="M82" s="180"/>
      <c r="AK82" s="708" t="s">
        <v>181</v>
      </c>
      <c r="AM82" s="706">
        <f>AM80*AM81</f>
        <v>0</v>
      </c>
      <c r="AN82" s="706">
        <f>AN80*AN81</f>
        <v>0</v>
      </c>
      <c r="AO82" s="724">
        <f>AM82+AN82</f>
        <v>0</v>
      </c>
    </row>
    <row r="83" spans="1:49" ht="16.5" customHeight="1" x14ac:dyDescent="0.25">
      <c r="A83" s="910" t="s">
        <v>26</v>
      </c>
      <c r="B83" s="342"/>
      <c r="C83" s="301"/>
      <c r="D83" s="301"/>
      <c r="E83" s="301"/>
      <c r="F83" s="301"/>
      <c r="G83" s="301"/>
      <c r="H83" s="301"/>
      <c r="I83" s="398">
        <f>K80-K63+I61</f>
        <v>0</v>
      </c>
      <c r="J83" s="301"/>
      <c r="K83" s="338"/>
      <c r="L83" s="180"/>
      <c r="M83" s="180"/>
      <c r="N83" s="326"/>
      <c r="O83" s="326"/>
      <c r="P83" s="326"/>
      <c r="Q83" s="326"/>
      <c r="R83" s="326"/>
      <c r="S83" s="326"/>
      <c r="T83" s="326"/>
      <c r="U83" s="326"/>
      <c r="V83" s="326"/>
      <c r="W83" s="326"/>
      <c r="X83" s="326"/>
      <c r="Y83" s="326"/>
      <c r="Z83" s="510"/>
      <c r="AA83" s="510"/>
      <c r="AB83" s="326"/>
      <c r="AC83" s="326"/>
      <c r="AD83" s="510"/>
      <c r="AE83" s="510"/>
      <c r="AF83" s="326"/>
      <c r="AG83" s="326"/>
      <c r="AK83" s="708" t="s">
        <v>183</v>
      </c>
      <c r="AM83" s="725" t="e">
        <f>AM80/AO80</f>
        <v>#DIV/0!</v>
      </c>
      <c r="AN83" s="725" t="e">
        <f>AN80/AO80</f>
        <v>#DIV/0!</v>
      </c>
      <c r="AO83" s="726" t="e">
        <f>AM83+AN83</f>
        <v>#DIV/0!</v>
      </c>
      <c r="AP83" s="326"/>
      <c r="AQ83" s="326"/>
      <c r="AR83" s="326"/>
      <c r="AS83" s="326"/>
      <c r="AT83" s="326"/>
      <c r="AU83" s="326"/>
      <c r="AV83" s="326"/>
      <c r="AW83" s="326"/>
    </row>
    <row r="84" spans="1:49" ht="16.5" customHeight="1" thickBot="1" x14ac:dyDescent="0.3">
      <c r="A84" s="910" t="s">
        <v>75</v>
      </c>
      <c r="B84" s="226"/>
      <c r="C84" s="301"/>
      <c r="D84" s="301"/>
      <c r="E84" s="301"/>
      <c r="F84" s="301"/>
      <c r="G84" s="301"/>
      <c r="H84" s="301"/>
      <c r="I84" s="398">
        <f>K80-J63</f>
        <v>0</v>
      </c>
      <c r="J84" s="301"/>
      <c r="K84" s="516"/>
      <c r="L84" s="58"/>
      <c r="M84" s="58"/>
      <c r="N84" s="326"/>
      <c r="O84" s="326"/>
      <c r="P84" s="326"/>
      <c r="Q84" s="326"/>
      <c r="R84" s="326"/>
      <c r="S84" s="326"/>
      <c r="T84" s="326"/>
      <c r="U84" s="326"/>
      <c r="V84" s="326"/>
      <c r="W84" s="326"/>
      <c r="X84" s="326"/>
      <c r="Y84" s="326"/>
      <c r="Z84" s="510"/>
      <c r="AA84" s="510"/>
      <c r="AB84" s="326"/>
      <c r="AC84" s="326"/>
      <c r="AD84" s="510"/>
      <c r="AE84" s="510"/>
      <c r="AF84" s="326"/>
      <c r="AG84" s="326"/>
      <c r="AJ84" s="326"/>
      <c r="AK84" s="326"/>
      <c r="AL84" s="326"/>
      <c r="AM84" s="326"/>
      <c r="AN84" s="326"/>
      <c r="AP84" s="326"/>
      <c r="AQ84" s="326"/>
      <c r="AR84" s="326"/>
      <c r="AS84" s="326"/>
      <c r="AT84" s="326"/>
      <c r="AU84" s="326"/>
      <c r="AV84" s="326"/>
      <c r="AW84" s="326"/>
    </row>
    <row r="85" spans="1:49" ht="16.5" customHeight="1" thickTop="1" thickBot="1" x14ac:dyDescent="0.3">
      <c r="A85" s="910" t="s">
        <v>108</v>
      </c>
      <c r="B85" s="226"/>
      <c r="C85" s="301"/>
      <c r="D85" s="301"/>
      <c r="E85" s="301"/>
      <c r="F85" s="301"/>
      <c r="G85" s="301"/>
      <c r="H85" s="301"/>
      <c r="I85" s="301"/>
      <c r="J85" s="301"/>
      <c r="K85" s="609">
        <v>0</v>
      </c>
      <c r="L85" s="175"/>
      <c r="M85" s="175"/>
      <c r="N85" s="426"/>
      <c r="O85" s="426"/>
      <c r="P85" s="326"/>
      <c r="Q85" s="326"/>
      <c r="R85" s="326"/>
      <c r="S85" s="326"/>
      <c r="T85" s="326"/>
      <c r="U85" s="326"/>
      <c r="V85" s="326"/>
      <c r="W85" s="326"/>
      <c r="X85" s="326"/>
      <c r="Y85" s="326"/>
      <c r="Z85" s="510"/>
      <c r="AA85" s="510"/>
      <c r="AB85" s="326"/>
      <c r="AC85" s="326"/>
      <c r="AD85" s="510"/>
      <c r="AE85" s="510"/>
      <c r="AF85" s="326"/>
      <c r="AG85" s="326"/>
      <c r="AK85" s="708" t="s">
        <v>190</v>
      </c>
      <c r="AO85" s="706">
        <f>K80</f>
        <v>0</v>
      </c>
      <c r="AP85" s="326"/>
      <c r="AQ85" s="326"/>
      <c r="AR85" s="326"/>
      <c r="AS85" s="326"/>
      <c r="AT85" s="326"/>
      <c r="AU85" s="326"/>
      <c r="AV85" s="326"/>
      <c r="AW85" s="326"/>
    </row>
    <row r="86" spans="1:49" ht="16.5" customHeight="1" thickTop="1" x14ac:dyDescent="0.25">
      <c r="A86" s="910"/>
      <c r="B86" s="226"/>
      <c r="C86" s="301"/>
      <c r="D86" s="301"/>
      <c r="E86" s="301"/>
      <c r="F86" s="301"/>
      <c r="G86" s="301"/>
      <c r="H86" s="301"/>
      <c r="I86" s="301"/>
      <c r="J86" s="301"/>
      <c r="K86" s="517"/>
      <c r="L86" s="180"/>
      <c r="M86" s="180"/>
      <c r="N86" s="326"/>
      <c r="O86" s="326"/>
      <c r="P86" s="326"/>
      <c r="Q86" s="326"/>
      <c r="R86" s="326"/>
      <c r="S86" s="326"/>
      <c r="T86" s="326"/>
      <c r="U86" s="326"/>
      <c r="V86" s="326"/>
      <c r="W86" s="326"/>
      <c r="X86" s="326"/>
      <c r="Y86" s="326"/>
      <c r="Z86" s="510"/>
      <c r="AA86" s="510"/>
      <c r="AB86" s="326"/>
      <c r="AC86" s="326"/>
      <c r="AD86" s="510"/>
      <c r="AE86" s="510"/>
      <c r="AF86" s="326"/>
      <c r="AG86" s="326"/>
      <c r="AH86" s="326"/>
      <c r="AK86" s="708" t="s">
        <v>191</v>
      </c>
      <c r="AO86" s="706">
        <f>I84</f>
        <v>0</v>
      </c>
      <c r="AP86" s="326"/>
      <c r="AQ86" s="326"/>
      <c r="AR86" s="326"/>
      <c r="AS86" s="326"/>
      <c r="AT86" s="326"/>
      <c r="AU86" s="326"/>
      <c r="AV86" s="326"/>
      <c r="AW86" s="326"/>
    </row>
    <row r="87" spans="1:49" ht="16.5" customHeight="1" x14ac:dyDescent="0.25">
      <c r="A87" s="428"/>
      <c r="B87" s="281"/>
      <c r="C87" s="301"/>
      <c r="D87" s="301"/>
      <c r="E87" s="301"/>
      <c r="F87" s="301"/>
      <c r="G87" s="301"/>
      <c r="H87" s="301"/>
      <c r="I87" s="281"/>
      <c r="J87" s="301"/>
      <c r="K87" s="518"/>
      <c r="L87" s="175"/>
      <c r="M87" s="175"/>
      <c r="AH87" s="326"/>
      <c r="AI87" s="326"/>
      <c r="AO87" s="656"/>
    </row>
    <row r="88" spans="1:49" ht="24.75" customHeight="1" x14ac:dyDescent="0.25">
      <c r="A88" s="430" t="s">
        <v>212</v>
      </c>
      <c r="B88" s="431"/>
      <c r="C88" s="432"/>
      <c r="D88" s="432"/>
      <c r="E88" s="432"/>
      <c r="F88" s="432"/>
      <c r="G88" s="432"/>
      <c r="H88" s="432"/>
      <c r="I88" s="610" t="s">
        <v>434</v>
      </c>
      <c r="J88" s="261"/>
      <c r="K88" s="518"/>
      <c r="L88" s="175"/>
      <c r="M88" s="175"/>
      <c r="AH88" s="326"/>
      <c r="AI88" s="326"/>
    </row>
    <row r="89" spans="1:49" ht="16.5" customHeight="1" thickBot="1" x14ac:dyDescent="0.3">
      <c r="A89" s="403" t="s">
        <v>199</v>
      </c>
      <c r="B89" s="404"/>
      <c r="C89" s="261"/>
      <c r="D89" s="261"/>
      <c r="E89" s="261"/>
      <c r="F89" s="261"/>
      <c r="G89" s="261"/>
      <c r="H89" s="261"/>
      <c r="I89" s="399" t="str">
        <f>IF(AND(C283="Yes",C285="Yes",I197="Yes"),AM108, IF(AND(C283="Yes", C285="No", I197="Yes"), AM80, " "))</f>
        <v xml:space="preserve"> </v>
      </c>
      <c r="J89" s="261"/>
      <c r="K89" s="518"/>
      <c r="L89" s="175"/>
      <c r="M89" s="175"/>
      <c r="AI89" s="326"/>
    </row>
    <row r="90" spans="1:49" ht="16.5" customHeight="1" thickTop="1" thickBot="1" x14ac:dyDescent="0.3">
      <c r="A90" s="910" t="s">
        <v>188</v>
      </c>
      <c r="B90" s="404"/>
      <c r="C90" s="261"/>
      <c r="D90" s="261"/>
      <c r="E90" s="261"/>
      <c r="F90" s="261"/>
      <c r="G90" s="261"/>
      <c r="H90" s="261"/>
      <c r="I90" s="612"/>
      <c r="J90" s="261"/>
      <c r="K90" s="518"/>
      <c r="L90" s="175"/>
      <c r="M90" s="175"/>
    </row>
    <row r="91" spans="1:49" ht="16.5" customHeight="1" thickTop="1" x14ac:dyDescent="0.25">
      <c r="A91" s="403" t="s">
        <v>201</v>
      </c>
      <c r="B91" s="404"/>
      <c r="C91" s="261"/>
      <c r="D91" s="261"/>
      <c r="E91" s="261"/>
      <c r="F91" s="261"/>
      <c r="G91" s="261"/>
      <c r="H91" s="261"/>
      <c r="I91" s="399" t="str">
        <f>IF(AND(C283="Yes",C285="Yes",I197="Yes"),AM110, IF(AND(C283="Yes", C285="No", I197="Yes"), AM82, " "))</f>
        <v xml:space="preserve"> </v>
      </c>
      <c r="J91" s="261"/>
      <c r="K91" s="518"/>
      <c r="L91" s="175"/>
      <c r="M91" s="175"/>
    </row>
    <row r="92" spans="1:49" ht="8.25" customHeight="1" x14ac:dyDescent="0.3">
      <c r="A92" s="405"/>
      <c r="B92" s="404"/>
      <c r="C92" s="261"/>
      <c r="D92" s="261"/>
      <c r="E92" s="261"/>
      <c r="F92" s="261"/>
      <c r="G92" s="406"/>
      <c r="H92" s="407"/>
      <c r="I92" s="434"/>
      <c r="J92" s="261"/>
      <c r="K92" s="518"/>
      <c r="L92" s="175"/>
      <c r="M92" s="175"/>
    </row>
    <row r="93" spans="1:49" ht="16.5" customHeight="1" thickBot="1" x14ac:dyDescent="0.3">
      <c r="A93" s="403" t="s">
        <v>200</v>
      </c>
      <c r="B93" s="404"/>
      <c r="C93" s="261"/>
      <c r="D93" s="261"/>
      <c r="E93" s="261"/>
      <c r="F93" s="261"/>
      <c r="G93" s="261"/>
      <c r="H93" s="261"/>
      <c r="I93" s="399" t="str">
        <f>IF(AND(C283="Yes",C285="Yes",I197="Yes"),AN108,IF(AND(C283="Yes",C285="No",I197="Yes"),AN80," "))</f>
        <v xml:space="preserve"> </v>
      </c>
      <c r="J93" s="261"/>
      <c r="K93" s="518"/>
      <c r="L93" s="175"/>
      <c r="M93" s="175"/>
    </row>
    <row r="94" spans="1:49" ht="16.5" customHeight="1" thickTop="1" thickBot="1" x14ac:dyDescent="0.3">
      <c r="A94" s="910" t="s">
        <v>52</v>
      </c>
      <c r="B94" s="404"/>
      <c r="C94" s="261"/>
      <c r="D94" s="261"/>
      <c r="E94" s="261"/>
      <c r="F94" s="261"/>
      <c r="G94" s="261"/>
      <c r="H94" s="261"/>
      <c r="I94" s="612"/>
      <c r="J94" s="261"/>
      <c r="K94" s="518"/>
      <c r="L94" s="175"/>
      <c r="M94" s="175"/>
    </row>
    <row r="95" spans="1:49" ht="16.5" customHeight="1" thickTop="1" x14ac:dyDescent="0.25">
      <c r="A95" s="403" t="s">
        <v>202</v>
      </c>
      <c r="B95" s="226"/>
      <c r="C95" s="301"/>
      <c r="D95" s="301"/>
      <c r="E95" s="301"/>
      <c r="F95" s="301"/>
      <c r="G95" s="301"/>
      <c r="H95" s="301"/>
      <c r="I95" s="613" t="str">
        <f>IF(AND(C283="Yes",C285="Yes",I197="Yes"),AN110,IF(AND(C283="Yes",C285="No",I197="Yes"),AN82," "))</f>
        <v xml:space="preserve"> </v>
      </c>
      <c r="J95" s="301"/>
      <c r="K95" s="518"/>
      <c r="L95" s="175"/>
      <c r="M95" s="175"/>
    </row>
    <row r="96" spans="1:49" ht="5.25" customHeight="1" x14ac:dyDescent="0.3">
      <c r="A96" s="405"/>
      <c r="B96" s="226"/>
      <c r="C96" s="301"/>
      <c r="D96" s="301"/>
      <c r="E96" s="301"/>
      <c r="F96" s="301"/>
      <c r="G96" s="406"/>
      <c r="H96" s="407"/>
      <c r="I96" s="434"/>
      <c r="J96" s="301"/>
      <c r="K96" s="518"/>
      <c r="L96" s="175"/>
      <c r="M96" s="175"/>
    </row>
    <row r="97" spans="1:66" ht="16.5" customHeight="1" x14ac:dyDescent="0.25">
      <c r="A97" s="403"/>
      <c r="B97" s="412" t="str">
        <f>IF(I197="Yes", "Combined F&amp;A Rate", " ")</f>
        <v xml:space="preserve"> </v>
      </c>
      <c r="C97" s="413" t="str">
        <f>IF(I197="Yes", AO81, " ")</f>
        <v xml:space="preserve"> </v>
      </c>
      <c r="D97" s="866"/>
      <c r="E97" s="301"/>
      <c r="F97" s="301"/>
      <c r="G97" s="410" t="str">
        <f>IF(I197="Yes", "Amount of Base Subtotal", " ")</f>
        <v xml:space="preserve"> </v>
      </c>
      <c r="H97" s="614" t="str">
        <f>IF(I197="Yes", I89+I93, " ")</f>
        <v xml:space="preserve"> </v>
      </c>
      <c r="I97" s="435"/>
      <c r="J97" s="301"/>
      <c r="K97" s="518"/>
      <c r="L97" s="175"/>
      <c r="M97" s="175"/>
    </row>
    <row r="98" spans="1:66" ht="16.5" customHeight="1" thickBot="1" x14ac:dyDescent="0.3">
      <c r="A98" s="408" t="s">
        <v>156</v>
      </c>
      <c r="B98" s="409"/>
      <c r="C98" s="375"/>
      <c r="D98" s="375"/>
      <c r="E98" s="375"/>
      <c r="F98" s="375"/>
      <c r="G98" s="375"/>
      <c r="H98" s="375"/>
      <c r="I98" s="402" t="str">
        <f>IF(AND(C283="Yes",C285="Yes",I197="Yes"),I91+I95, IF(AND(C283="Yes", C285="No", I197="Yes"), I91+I95, " "))</f>
        <v xml:space="preserve"> </v>
      </c>
      <c r="J98" s="760"/>
      <c r="K98" s="518"/>
      <c r="L98" s="175"/>
      <c r="M98" s="175"/>
      <c r="AK98" s="731" t="s">
        <v>193</v>
      </c>
      <c r="AO98" s="706">
        <f>K85</f>
        <v>0</v>
      </c>
    </row>
    <row r="99" spans="1:66" ht="16.5" customHeight="1" x14ac:dyDescent="0.25">
      <c r="A99" s="910"/>
      <c r="B99" s="226"/>
      <c r="C99" s="262"/>
      <c r="D99" s="262"/>
      <c r="E99" s="262"/>
      <c r="F99" s="262"/>
      <c r="G99" s="262"/>
      <c r="H99" s="415"/>
      <c r="I99" s="301"/>
      <c r="J99" s="301"/>
      <c r="K99" s="416"/>
      <c r="L99" s="174"/>
      <c r="M99" s="174"/>
      <c r="AJ99" s="326"/>
      <c r="AK99" s="731" t="s">
        <v>192</v>
      </c>
      <c r="AL99" s="326"/>
      <c r="AM99" s="427"/>
      <c r="AN99" s="656"/>
      <c r="AO99" s="724">
        <f>AO86</f>
        <v>0</v>
      </c>
    </row>
    <row r="100" spans="1:66" ht="16.5" customHeight="1" x14ac:dyDescent="0.25">
      <c r="A100" s="341" t="s">
        <v>49</v>
      </c>
      <c r="B100" s="342"/>
      <c r="C100" s="301"/>
      <c r="D100" s="301"/>
      <c r="E100" s="301"/>
      <c r="F100" s="301"/>
      <c r="G100" s="301"/>
      <c r="H100" s="301"/>
      <c r="I100" s="301"/>
      <c r="J100" s="301"/>
      <c r="K100" s="338"/>
      <c r="L100" s="180"/>
      <c r="M100" s="180"/>
      <c r="N100" s="326"/>
      <c r="O100" s="326"/>
      <c r="P100" s="326"/>
      <c r="Q100" s="326"/>
      <c r="R100" s="326"/>
      <c r="S100" s="326"/>
      <c r="T100" s="326"/>
      <c r="U100" s="326"/>
      <c r="V100" s="326"/>
      <c r="W100" s="326"/>
      <c r="X100" s="326"/>
      <c r="Y100" s="326"/>
      <c r="Z100" s="510"/>
      <c r="AA100" s="510"/>
      <c r="AB100" s="326"/>
      <c r="AC100" s="326"/>
      <c r="AD100" s="510"/>
      <c r="AE100" s="510"/>
      <c r="AF100" s="326"/>
      <c r="AG100" s="326"/>
      <c r="AH100" s="326"/>
      <c r="AI100" s="326"/>
      <c r="AJ100" s="326"/>
      <c r="AK100" s="731" t="s">
        <v>163</v>
      </c>
      <c r="AL100" s="326"/>
      <c r="AM100" s="326"/>
      <c r="AO100" s="732">
        <f>IF(AO99&gt;AO98, 0, AO98-AO99)</f>
        <v>0</v>
      </c>
      <c r="AP100" s="326"/>
      <c r="AQ100" s="326"/>
      <c r="AR100" s="326"/>
      <c r="AS100" s="326"/>
      <c r="AT100" s="326"/>
      <c r="AU100" s="326"/>
      <c r="AV100" s="326"/>
      <c r="AW100" s="326"/>
    </row>
    <row r="101" spans="1:66" ht="16.5" customHeight="1" thickBot="1" x14ac:dyDescent="0.3">
      <c r="A101" s="910" t="s">
        <v>24</v>
      </c>
      <c r="B101" s="226"/>
      <c r="C101" s="301"/>
      <c r="D101" s="301"/>
      <c r="E101" s="301"/>
      <c r="F101" s="301"/>
      <c r="G101" s="301"/>
      <c r="H101" s="301"/>
      <c r="I101" s="411">
        <f>IF(AND(C283="Yes",C285="Yes"),K85-I63-G77-K75-K55-K34+K186+K129,IF(AND(C283="Yes",C285="No"),I84-I63-G77-K75-K55-K34+K186+K129, K80-K230-K231-K232))</f>
        <v>0</v>
      </c>
      <c r="J101" s="261"/>
      <c r="K101" s="338"/>
      <c r="L101" s="180"/>
      <c r="M101" s="180"/>
      <c r="N101" s="426"/>
      <c r="O101" s="426"/>
      <c r="P101" s="427"/>
      <c r="Q101" s="326"/>
      <c r="R101" s="326"/>
      <c r="S101" s="326"/>
      <c r="T101" s="326"/>
      <c r="U101" s="326"/>
      <c r="V101" s="326"/>
      <c r="W101" s="326"/>
      <c r="X101" s="326"/>
      <c r="Y101" s="326"/>
      <c r="Z101" s="510"/>
      <c r="AA101" s="510"/>
      <c r="AB101" s="326"/>
      <c r="AC101" s="326"/>
      <c r="AD101" s="510"/>
      <c r="AE101" s="510"/>
      <c r="AF101" s="326"/>
      <c r="AG101" s="326"/>
      <c r="AH101" s="326"/>
      <c r="AI101" s="326"/>
      <c r="AK101" s="708" t="s">
        <v>164</v>
      </c>
      <c r="AM101" s="725" t="e">
        <f>AM80/AO80</f>
        <v>#DIV/0!</v>
      </c>
      <c r="AN101" s="725" t="e">
        <f>AN80/AO80</f>
        <v>#DIV/0!</v>
      </c>
      <c r="AO101" s="733" t="e">
        <f>AM101+AN101</f>
        <v>#DIV/0!</v>
      </c>
      <c r="AP101" s="326"/>
      <c r="AQ101" s="326"/>
      <c r="AR101" s="326"/>
      <c r="AS101" s="326"/>
      <c r="AT101" s="326"/>
      <c r="AU101" s="326"/>
      <c r="AV101" s="326"/>
      <c r="AW101" s="326"/>
    </row>
    <row r="102" spans="1:66" ht="16.5" customHeight="1" thickTop="1" thickBot="1" x14ac:dyDescent="0.3">
      <c r="A102" s="910" t="s">
        <v>52</v>
      </c>
      <c r="B102" s="226"/>
      <c r="C102" s="301"/>
      <c r="D102" s="301"/>
      <c r="E102" s="301"/>
      <c r="F102" s="301"/>
      <c r="G102" s="301"/>
      <c r="H102" s="301"/>
      <c r="I102" s="616">
        <v>0.69499999999999995</v>
      </c>
      <c r="J102" s="433"/>
      <c r="K102" s="520"/>
      <c r="L102" s="174"/>
      <c r="M102" s="174"/>
      <c r="N102" s="326"/>
      <c r="O102" s="326"/>
      <c r="P102" s="427"/>
      <c r="Q102" s="326"/>
      <c r="R102" s="326"/>
      <c r="S102" s="326"/>
      <c r="T102" s="326"/>
      <c r="U102" s="326"/>
      <c r="V102" s="326"/>
      <c r="W102" s="326"/>
      <c r="X102" s="326"/>
      <c r="Y102" s="326"/>
      <c r="Z102" s="510"/>
      <c r="AA102" s="510"/>
      <c r="AB102" s="326"/>
      <c r="AC102" s="326"/>
      <c r="AD102" s="510"/>
      <c r="AE102" s="510"/>
      <c r="AF102" s="326"/>
      <c r="AG102" s="326"/>
      <c r="AH102" s="326"/>
      <c r="AI102" s="326"/>
      <c r="AO102" s="326"/>
      <c r="AP102" s="326"/>
      <c r="AQ102" s="326"/>
      <c r="AR102" s="326"/>
      <c r="AS102" s="326"/>
      <c r="AT102" s="326"/>
      <c r="AU102" s="326"/>
      <c r="AV102" s="326"/>
      <c r="AW102" s="326"/>
    </row>
    <row r="103" spans="1:66" ht="16.5" customHeight="1" thickTop="1" thickBot="1" x14ac:dyDescent="0.3">
      <c r="A103" s="428" t="s">
        <v>48</v>
      </c>
      <c r="B103" s="226"/>
      <c r="C103" s="301"/>
      <c r="D103" s="301"/>
      <c r="E103" s="301"/>
      <c r="F103" s="301"/>
      <c r="G103" s="301"/>
      <c r="H103" s="301"/>
      <c r="I103" s="301"/>
      <c r="J103" s="301"/>
      <c r="K103" s="414">
        <f>IF(I197="No", I101*I102, " ")</f>
        <v>0</v>
      </c>
      <c r="L103" s="175"/>
      <c r="M103" s="175"/>
      <c r="AK103" s="708" t="s">
        <v>178</v>
      </c>
      <c r="AM103" s="713" t="e">
        <f>AO100*AM101</f>
        <v>#DIV/0!</v>
      </c>
      <c r="AN103" s="656" t="e">
        <f>AO100*AN101</f>
        <v>#DIV/0!</v>
      </c>
      <c r="AO103" s="656" t="e">
        <f>AM103+AN103</f>
        <v>#DIV/0!</v>
      </c>
    </row>
    <row r="104" spans="1:66" ht="16.5" customHeight="1" x14ac:dyDescent="0.25">
      <c r="A104" s="910"/>
      <c r="B104" s="226"/>
      <c r="C104" s="262"/>
      <c r="D104" s="262"/>
      <c r="E104" s="262"/>
      <c r="F104" s="262"/>
      <c r="G104" s="262"/>
      <c r="H104" s="415"/>
      <c r="I104" s="301"/>
      <c r="J104" s="301"/>
      <c r="K104" s="416"/>
      <c r="L104" s="174"/>
      <c r="M104" s="174"/>
      <c r="AK104" s="866" t="s">
        <v>179</v>
      </c>
      <c r="AM104" s="482">
        <f>I90</f>
        <v>0</v>
      </c>
      <c r="AN104" s="482">
        <f>I94</f>
        <v>0</v>
      </c>
      <c r="AO104" s="725" t="e">
        <f>(AM104*AM101)+(AN104*AN101)</f>
        <v>#DIV/0!</v>
      </c>
    </row>
    <row r="105" spans="1:66" ht="16.5" customHeight="1" x14ac:dyDescent="0.25">
      <c r="A105" s="910"/>
      <c r="B105" s="226"/>
      <c r="C105" s="262"/>
      <c r="D105" s="262"/>
      <c r="E105" s="262"/>
      <c r="F105" s="262"/>
      <c r="G105" s="262"/>
      <c r="H105" s="415"/>
      <c r="I105" s="301"/>
      <c r="J105" s="301"/>
      <c r="K105" s="416"/>
      <c r="L105" s="174"/>
      <c r="M105" s="174"/>
      <c r="AK105" s="708" t="s">
        <v>180</v>
      </c>
      <c r="AM105" s="656" t="e">
        <f>AM103*AM104</f>
        <v>#DIV/0!</v>
      </c>
      <c r="AN105" s="656" t="e">
        <f>AN103*AN104</f>
        <v>#DIV/0!</v>
      </c>
      <c r="AO105" s="713" t="e">
        <f>AO103*AO104</f>
        <v>#DIV/0!</v>
      </c>
    </row>
    <row r="106" spans="1:66" ht="16.5" customHeight="1" x14ac:dyDescent="0.25">
      <c r="A106" s="910"/>
      <c r="B106" s="226"/>
      <c r="C106" s="262"/>
      <c r="D106" s="262"/>
      <c r="E106" s="262"/>
      <c r="F106" s="262"/>
      <c r="G106" s="262"/>
      <c r="H106" s="415"/>
      <c r="I106" s="301"/>
      <c r="J106" s="301"/>
      <c r="K106" s="416"/>
      <c r="L106" s="174"/>
      <c r="M106" s="174"/>
    </row>
    <row r="107" spans="1:66" ht="16.5" customHeight="1" thickBot="1" x14ac:dyDescent="0.3">
      <c r="A107" s="910"/>
      <c r="B107" s="226"/>
      <c r="C107" s="262"/>
      <c r="D107" s="262"/>
      <c r="E107" s="262"/>
      <c r="F107" s="281"/>
      <c r="G107" s="262"/>
      <c r="H107" s="415"/>
      <c r="I107" s="301"/>
      <c r="J107" s="866"/>
      <c r="K107" s="416"/>
      <c r="L107" s="174"/>
      <c r="M107" s="174"/>
    </row>
    <row r="108" spans="1:66" ht="16.5" customHeight="1" x14ac:dyDescent="0.25">
      <c r="A108" s="417" t="s">
        <v>18</v>
      </c>
      <c r="B108" s="418"/>
      <c r="C108" s="419"/>
      <c r="D108" s="419"/>
      <c r="E108" s="419"/>
      <c r="F108" s="419"/>
      <c r="G108" s="419"/>
      <c r="H108" s="420"/>
      <c r="I108" s="421"/>
      <c r="J108" s="421"/>
      <c r="K108" s="422">
        <f>IF(AND(C283="Yes",C285="Yes",I197="No"),K85+J63+K103,IF(AND(C283="Yes",C285="No",I197="No"),K80+K103,IF(AND(C283="Yes",C285="Yes",I197="Yes"),K85+J63+I98,IF(AND(C283="Yes",C285="No",I197="Yes"),K80+I98,IF(AND(C283="No", C285="No", I197="No"),K80+K103, K80+K103)))))</f>
        <v>0</v>
      </c>
      <c r="L108" s="175"/>
      <c r="M108" s="175"/>
      <c r="AK108" s="708" t="s">
        <v>184</v>
      </c>
      <c r="AM108" s="656" t="e">
        <f>AM80+AM103</f>
        <v>#DIV/0!</v>
      </c>
      <c r="AN108" s="656" t="e">
        <f>AN80+AN103</f>
        <v>#DIV/0!</v>
      </c>
      <c r="AO108" s="656" t="e">
        <f>AM108+AN108</f>
        <v>#DIV/0!</v>
      </c>
    </row>
    <row r="109" spans="1:66" ht="16.5" customHeight="1" x14ac:dyDescent="0.25">
      <c r="A109" s="617"/>
      <c r="B109" s="618"/>
      <c r="C109" s="866"/>
      <c r="D109" s="866"/>
      <c r="E109" s="866"/>
      <c r="F109" s="866"/>
      <c r="G109" s="866"/>
      <c r="H109" s="866"/>
      <c r="I109" s="619"/>
      <c r="J109" s="619"/>
      <c r="K109" s="620"/>
      <c r="L109" s="185"/>
      <c r="M109" s="185"/>
      <c r="AK109" s="866" t="s">
        <v>179</v>
      </c>
      <c r="AM109" s="482">
        <f>I90</f>
        <v>0</v>
      </c>
      <c r="AN109" s="482">
        <f>I94</f>
        <v>0</v>
      </c>
      <c r="AO109" s="737" t="e">
        <f>AO104</f>
        <v>#DIV/0!</v>
      </c>
    </row>
    <row r="110" spans="1:66" ht="14.4" thickBot="1" x14ac:dyDescent="0.3">
      <c r="A110" s="843"/>
      <c r="B110" s="844"/>
      <c r="C110" s="845"/>
      <c r="D110" s="845"/>
      <c r="E110" s="845"/>
      <c r="F110" s="845"/>
      <c r="G110" s="845"/>
      <c r="H110" s="845"/>
      <c r="I110" s="845"/>
      <c r="J110" s="845"/>
      <c r="K110" s="845"/>
      <c r="L110" s="186"/>
      <c r="M110" s="186"/>
      <c r="AK110" s="739" t="s">
        <v>182</v>
      </c>
      <c r="AL110" s="912"/>
      <c r="AM110" s="706" t="e">
        <f>AM82+AM105</f>
        <v>#DIV/0!</v>
      </c>
      <c r="AN110" s="706" t="e">
        <f>AN82+AN105</f>
        <v>#DIV/0!</v>
      </c>
      <c r="AO110" s="706" t="e">
        <f>AM110+AN110</f>
        <v>#DIV/0!</v>
      </c>
    </row>
    <row r="111" spans="1:66" x14ac:dyDescent="0.25">
      <c r="A111" s="863" t="s">
        <v>441</v>
      </c>
      <c r="B111" s="864"/>
      <c r="C111" s="865"/>
      <c r="D111" s="865"/>
      <c r="E111" s="865"/>
      <c r="F111" s="865"/>
      <c r="G111" s="865"/>
      <c r="H111" s="865"/>
      <c r="I111" s="865"/>
      <c r="J111" s="865"/>
      <c r="K111" s="865"/>
      <c r="L111" s="186"/>
      <c r="M111" s="186"/>
      <c r="AM111" s="713" t="e">
        <f>AM108*AM109</f>
        <v>#DIV/0!</v>
      </c>
      <c r="AN111" s="713" t="e">
        <f>AN108*AN109</f>
        <v>#DIV/0!</v>
      </c>
      <c r="AO111" s="713" t="e">
        <f>AO108*AO104</f>
        <v>#DIV/0!</v>
      </c>
    </row>
    <row r="112" spans="1:66" ht="25.5" customHeight="1" thickBot="1" x14ac:dyDescent="0.4">
      <c r="A112" s="832" t="s">
        <v>430</v>
      </c>
      <c r="B112" s="453"/>
      <c r="C112" s="328"/>
      <c r="D112" s="328"/>
      <c r="E112" s="328"/>
      <c r="F112" s="328"/>
      <c r="G112" s="328"/>
      <c r="H112" s="328"/>
      <c r="I112" s="328"/>
      <c r="J112" s="328"/>
      <c r="K112" s="443"/>
      <c r="L112" s="90"/>
      <c r="M112" s="90"/>
      <c r="N112" s="326"/>
      <c r="O112" s="326"/>
      <c r="P112" s="326"/>
      <c r="Q112" s="326"/>
      <c r="R112" s="326"/>
      <c r="S112" s="326"/>
      <c r="T112" s="326"/>
      <c r="U112" s="326"/>
      <c r="V112" s="326"/>
      <c r="W112" s="326"/>
      <c r="X112" s="326"/>
      <c r="Y112" s="326"/>
      <c r="Z112" s="510"/>
      <c r="AA112" s="510"/>
      <c r="AB112" s="326"/>
      <c r="AC112" s="326"/>
      <c r="AD112" s="510"/>
      <c r="AE112" s="510"/>
      <c r="AF112" s="326"/>
      <c r="AG112" s="326"/>
      <c r="AH112" s="326"/>
      <c r="AI112" s="326"/>
      <c r="AJ112" s="326"/>
      <c r="AK112" s="731" t="s">
        <v>183</v>
      </c>
      <c r="AL112" s="326"/>
      <c r="AM112" s="894" t="e">
        <f>AM108/AO108</f>
        <v>#DIV/0!</v>
      </c>
      <c r="AN112" s="894" t="e">
        <f>AN108/AO108</f>
        <v>#DIV/0!</v>
      </c>
      <c r="AO112" s="726" t="e">
        <f>AM112+AN112</f>
        <v>#DIV/0!</v>
      </c>
      <c r="AP112" s="326"/>
      <c r="AQ112" s="326"/>
      <c r="AR112" s="326"/>
      <c r="AS112" s="326"/>
      <c r="AT112" s="326"/>
      <c r="AU112" s="326"/>
      <c r="AV112" s="326"/>
      <c r="AW112" s="326"/>
      <c r="AX112" s="326"/>
      <c r="AY112" s="326"/>
      <c r="AZ112" s="326"/>
      <c r="BA112" s="13"/>
      <c r="BB112" s="13"/>
      <c r="BC112" s="13"/>
      <c r="BD112" s="13"/>
      <c r="BE112" s="13"/>
      <c r="BF112" s="13"/>
      <c r="BG112" s="13"/>
      <c r="BH112" s="13"/>
      <c r="BI112" s="13"/>
      <c r="BJ112" s="13"/>
      <c r="BK112" s="13"/>
      <c r="BL112" s="13"/>
      <c r="BM112" s="13"/>
      <c r="BN112" s="13"/>
    </row>
    <row r="113" spans="1:66" s="15" customFormat="1" ht="15" customHeight="1" thickTop="1" thickBot="1" x14ac:dyDescent="0.3">
      <c r="A113" s="319" t="s">
        <v>423</v>
      </c>
      <c r="B113" s="319"/>
      <c r="C113" s="320"/>
      <c r="D113" s="320"/>
      <c r="E113" s="321" t="s">
        <v>60</v>
      </c>
      <c r="F113" s="438"/>
      <c r="G113" s="320"/>
      <c r="H113" s="320"/>
      <c r="I113" s="320"/>
      <c r="J113" s="320"/>
      <c r="K113" s="454" t="s">
        <v>272</v>
      </c>
      <c r="L113" s="190"/>
      <c r="M113" s="190"/>
      <c r="N113" s="326"/>
      <c r="O113" s="326"/>
      <c r="P113" s="640"/>
      <c r="Q113" s="326"/>
      <c r="R113" s="326"/>
      <c r="S113" s="326"/>
      <c r="T113" s="326"/>
      <c r="U113" s="326"/>
      <c r="V113" s="326"/>
      <c r="W113" s="326"/>
      <c r="X113" s="326"/>
      <c r="Y113" s="326"/>
      <c r="Z113" s="510"/>
      <c r="AA113" s="510"/>
      <c r="AB113" s="326"/>
      <c r="AC113" s="326"/>
      <c r="AD113" s="510"/>
      <c r="AE113" s="510"/>
      <c r="AF113" s="326"/>
      <c r="AG113" s="326"/>
      <c r="AH113" s="326"/>
      <c r="AI113" s="326"/>
      <c r="AJ113" s="326"/>
      <c r="AK113" s="326"/>
      <c r="AL113" s="326"/>
      <c r="AM113" s="326"/>
      <c r="AN113" s="326"/>
      <c r="AO113" s="326"/>
      <c r="AP113" s="326"/>
      <c r="AQ113" s="326"/>
      <c r="AR113" s="326"/>
      <c r="AS113" s="326"/>
      <c r="AT113" s="326"/>
      <c r="AU113" s="326"/>
      <c r="AV113" s="326"/>
      <c r="AW113" s="326"/>
      <c r="AX113" s="326"/>
      <c r="AY113" s="326"/>
      <c r="AZ113" s="326"/>
      <c r="BA113" s="13"/>
      <c r="BB113" s="13"/>
      <c r="BC113" s="13"/>
      <c r="BD113" s="13"/>
      <c r="BE113" s="13"/>
      <c r="BF113" s="13"/>
      <c r="BG113" s="13"/>
      <c r="BH113" s="13"/>
      <c r="BI113" s="13"/>
      <c r="BJ113" s="13"/>
      <c r="BK113" s="13"/>
      <c r="BL113" s="13"/>
      <c r="BM113" s="13"/>
      <c r="BN113" s="13"/>
    </row>
    <row r="114" spans="1:66" ht="16.5" customHeight="1" thickTop="1" x14ac:dyDescent="0.25">
      <c r="A114" s="438" t="s">
        <v>129</v>
      </c>
      <c r="B114" s="438"/>
      <c r="C114" s="438"/>
      <c r="D114" s="438"/>
      <c r="E114" s="438"/>
      <c r="F114" s="438"/>
      <c r="G114" s="438"/>
      <c r="H114" s="439"/>
      <c r="I114" s="438"/>
      <c r="J114" s="438"/>
      <c r="K114" s="320"/>
      <c r="L114" s="23"/>
      <c r="M114" s="23"/>
      <c r="P114" s="326"/>
      <c r="Q114" s="326"/>
      <c r="R114" s="326"/>
      <c r="S114" s="326"/>
      <c r="T114" s="326"/>
      <c r="U114" s="326"/>
      <c r="V114" s="326"/>
      <c r="W114" s="326"/>
      <c r="X114" s="326"/>
      <c r="Y114" s="326"/>
      <c r="Z114" s="510"/>
      <c r="AA114" s="510"/>
      <c r="AB114" s="326"/>
      <c r="AC114" s="326"/>
      <c r="AD114" s="510"/>
      <c r="AE114" s="510"/>
      <c r="AF114" s="326"/>
      <c r="AG114" s="326"/>
      <c r="AH114" s="326"/>
      <c r="AI114" s="326"/>
      <c r="AJ114" s="326"/>
      <c r="AK114" s="326"/>
      <c r="AL114" s="326"/>
      <c r="AM114" s="326"/>
      <c r="AN114" s="326"/>
      <c r="AO114" s="326"/>
      <c r="AP114" s="326"/>
      <c r="AQ114" s="326"/>
      <c r="AR114" s="326"/>
      <c r="AS114" s="326"/>
      <c r="AT114" s="326"/>
      <c r="AU114" s="326"/>
      <c r="AV114" s="326"/>
      <c r="AW114" s="326"/>
      <c r="AX114" s="326"/>
      <c r="AY114" s="326"/>
      <c r="AZ114" s="326"/>
      <c r="BA114" s="13"/>
      <c r="BB114" s="13"/>
      <c r="BC114" s="13"/>
      <c r="BD114" s="13"/>
      <c r="BE114" s="13"/>
      <c r="BF114" s="13"/>
      <c r="BG114" s="13"/>
      <c r="BH114" s="13"/>
      <c r="BI114" s="13"/>
      <c r="BJ114" s="13"/>
      <c r="BK114" s="13"/>
      <c r="BL114" s="13"/>
      <c r="BM114" s="13"/>
      <c r="BN114" s="13"/>
    </row>
    <row r="115" spans="1:66" ht="16.5" customHeight="1" thickBot="1" x14ac:dyDescent="0.3">
      <c r="A115" s="438" t="s">
        <v>196</v>
      </c>
      <c r="B115" s="438"/>
      <c r="C115" s="438"/>
      <c r="D115" s="438"/>
      <c r="E115" s="438"/>
      <c r="F115" s="438"/>
      <c r="G115" s="438"/>
      <c r="H115" s="439"/>
      <c r="I115" s="438"/>
      <c r="J115" s="438"/>
      <c r="K115" s="320"/>
      <c r="L115" s="23"/>
      <c r="M115" s="23"/>
      <c r="O115" s="326"/>
      <c r="P115" s="326"/>
      <c r="Q115" s="326"/>
      <c r="R115" s="326"/>
      <c r="S115" s="326"/>
      <c r="T115" s="326"/>
      <c r="U115" s="326"/>
      <c r="V115" s="326"/>
      <c r="W115" s="326"/>
      <c r="X115" s="326"/>
      <c r="Y115" s="326"/>
      <c r="Z115" s="510"/>
      <c r="AA115" s="510"/>
      <c r="AB115" s="326"/>
      <c r="AC115" s="326"/>
      <c r="AD115" s="510"/>
      <c r="AE115" s="510"/>
      <c r="AF115" s="326"/>
      <c r="AG115" s="326"/>
      <c r="AH115" s="326"/>
      <c r="AI115" s="326"/>
      <c r="AJ115" s="326"/>
      <c r="AK115" s="326"/>
      <c r="AL115" s="326"/>
      <c r="AM115" s="326"/>
      <c r="AN115" s="326"/>
      <c r="AO115" s="326"/>
      <c r="AP115" s="326"/>
      <c r="AQ115" s="326"/>
      <c r="AR115" s="326"/>
      <c r="AS115" s="326"/>
      <c r="AT115" s="326"/>
      <c r="AU115" s="326"/>
      <c r="AV115" s="326"/>
      <c r="AW115" s="326"/>
      <c r="AX115" s="326"/>
      <c r="AY115" s="326"/>
      <c r="AZ115" s="326"/>
      <c r="BA115" s="13"/>
      <c r="BB115" s="13"/>
      <c r="BC115" s="13"/>
      <c r="BD115" s="13"/>
      <c r="BE115" s="13"/>
      <c r="BF115" s="13"/>
      <c r="BG115" s="13"/>
      <c r="BH115" s="13"/>
      <c r="BI115" s="13"/>
      <c r="BJ115" s="13"/>
      <c r="BK115" s="13"/>
      <c r="BL115" s="13"/>
      <c r="BM115" s="13"/>
      <c r="BN115" s="13"/>
    </row>
    <row r="116" spans="1:66" ht="16.5" hidden="1" customHeight="1" x14ac:dyDescent="0.25">
      <c r="A116" s="874"/>
      <c r="B116" s="874"/>
      <c r="C116" s="874"/>
      <c r="D116" s="874"/>
      <c r="E116" s="874"/>
      <c r="F116" s="671" t="s">
        <v>194</v>
      </c>
      <c r="G116" s="874"/>
      <c r="H116" s="672"/>
      <c r="I116" s="874"/>
      <c r="J116" s="561"/>
      <c r="K116" s="561"/>
      <c r="L116" s="23"/>
      <c r="M116" s="23"/>
      <c r="O116" s="326"/>
      <c r="P116" s="326"/>
      <c r="Q116" s="326"/>
      <c r="R116" s="326"/>
      <c r="S116" s="326"/>
      <c r="T116" s="326"/>
      <c r="U116" s="326"/>
      <c r="V116" s="326"/>
      <c r="W116" s="326"/>
      <c r="X116" s="326"/>
      <c r="Y116" s="326"/>
      <c r="Z116" s="510"/>
      <c r="AA116" s="510"/>
      <c r="AB116" s="326"/>
      <c r="AC116" s="326"/>
      <c r="AD116" s="510"/>
      <c r="AE116" s="510"/>
      <c r="AF116" s="326"/>
      <c r="AG116" s="326"/>
      <c r="AH116" s="326"/>
      <c r="AI116" s="326"/>
      <c r="AJ116" s="326"/>
      <c r="AK116" s="326"/>
      <c r="AL116" s="326"/>
      <c r="AM116" s="326"/>
      <c r="AN116" s="326"/>
      <c r="AO116" s="326"/>
      <c r="AP116" s="326"/>
      <c r="AQ116" s="326"/>
      <c r="AR116" s="326"/>
      <c r="AS116" s="326"/>
      <c r="AT116" s="326"/>
      <c r="AU116" s="326"/>
      <c r="AV116" s="326"/>
      <c r="AW116" s="326"/>
      <c r="AX116" s="326"/>
      <c r="AY116" s="326"/>
      <c r="AZ116" s="326"/>
      <c r="BA116" s="13"/>
      <c r="BB116" s="13"/>
      <c r="BC116" s="13"/>
      <c r="BD116" s="13"/>
      <c r="BE116" s="13"/>
      <c r="BF116" s="13"/>
      <c r="BG116" s="13"/>
      <c r="BH116" s="13"/>
      <c r="BI116" s="13"/>
      <c r="BJ116" s="13"/>
      <c r="BK116" s="13"/>
      <c r="BL116" s="13"/>
      <c r="BM116" s="13"/>
      <c r="BN116" s="13"/>
    </row>
    <row r="117" spans="1:66" ht="16.5" hidden="1" customHeight="1" x14ac:dyDescent="0.25">
      <c r="A117" s="874"/>
      <c r="B117" s="874"/>
      <c r="C117" s="874"/>
      <c r="D117" s="874"/>
      <c r="E117" s="874"/>
      <c r="F117" s="673"/>
      <c r="G117" s="874"/>
      <c r="H117" s="672"/>
      <c r="I117" s="874"/>
      <c r="J117" s="561"/>
      <c r="K117" s="561"/>
      <c r="L117" s="23"/>
      <c r="M117" s="23"/>
      <c r="O117" s="326"/>
      <c r="P117" s="326"/>
      <c r="Q117" s="326"/>
      <c r="R117" s="326"/>
      <c r="S117" s="326"/>
      <c r="T117" s="326"/>
      <c r="U117" s="326"/>
      <c r="V117" s="326"/>
      <c r="W117" s="326"/>
      <c r="X117" s="326"/>
      <c r="Y117" s="326"/>
      <c r="Z117" s="510"/>
      <c r="AA117" s="510"/>
      <c r="AB117" s="326"/>
      <c r="AC117" s="326"/>
      <c r="AD117" s="510"/>
      <c r="AE117" s="510"/>
      <c r="AF117" s="326"/>
      <c r="AG117" s="326"/>
      <c r="AH117" s="326"/>
      <c r="AI117" s="326"/>
      <c r="AJ117" s="326"/>
      <c r="AK117" s="326"/>
      <c r="AL117" s="326"/>
      <c r="AM117" s="326"/>
      <c r="AN117" s="326"/>
      <c r="AO117" s="326"/>
      <c r="AP117" s="326"/>
      <c r="AQ117" s="326"/>
      <c r="AR117" s="326"/>
      <c r="AS117" s="326"/>
      <c r="AT117" s="326"/>
      <c r="AU117" s="326"/>
      <c r="AV117" s="326"/>
      <c r="AW117" s="326"/>
      <c r="AX117" s="326"/>
      <c r="AY117" s="326"/>
      <c r="AZ117" s="326"/>
      <c r="BA117" s="13"/>
      <c r="BB117" s="13"/>
      <c r="BC117" s="13"/>
      <c r="BD117" s="13"/>
      <c r="BE117" s="13"/>
      <c r="BF117" s="13"/>
      <c r="BG117" s="13"/>
      <c r="BH117" s="13"/>
      <c r="BI117" s="13"/>
      <c r="BJ117" s="13"/>
      <c r="BK117" s="13"/>
      <c r="BL117" s="13"/>
      <c r="BM117" s="13"/>
      <c r="BN117" s="13"/>
    </row>
    <row r="118" spans="1:66" ht="16.5" hidden="1" customHeight="1" x14ac:dyDescent="0.25">
      <c r="A118" s="874"/>
      <c r="B118" s="874"/>
      <c r="C118" s="874"/>
      <c r="D118" s="874"/>
      <c r="E118" s="874"/>
      <c r="F118" s="673">
        <v>75000</v>
      </c>
      <c r="G118" s="874"/>
      <c r="H118" s="672"/>
      <c r="I118" s="874"/>
      <c r="J118" s="561"/>
      <c r="K118" s="561"/>
      <c r="L118" s="23"/>
      <c r="M118" s="23"/>
      <c r="O118" s="326"/>
      <c r="P118" s="326"/>
      <c r="Q118" s="326"/>
      <c r="R118" s="326"/>
      <c r="S118" s="326"/>
      <c r="T118" s="326"/>
      <c r="U118" s="326"/>
      <c r="V118" s="326"/>
      <c r="W118" s="326"/>
      <c r="X118" s="326"/>
      <c r="Y118" s="326"/>
      <c r="Z118" s="510"/>
      <c r="AA118" s="510"/>
      <c r="AB118" s="326"/>
      <c r="AC118" s="326"/>
      <c r="AD118" s="510"/>
      <c r="AE118" s="510"/>
      <c r="AF118" s="326"/>
      <c r="AG118" s="326"/>
      <c r="AH118" s="326"/>
      <c r="AI118" s="326"/>
      <c r="AJ118" s="326"/>
      <c r="AK118" s="326"/>
      <c r="AL118" s="326"/>
      <c r="AM118" s="326"/>
      <c r="AN118" s="326"/>
      <c r="AO118" s="326"/>
      <c r="AP118" s="326"/>
      <c r="AQ118" s="326"/>
      <c r="AR118" s="326"/>
      <c r="AS118" s="326"/>
      <c r="AT118" s="326"/>
      <c r="AU118" s="326"/>
      <c r="AV118" s="326"/>
      <c r="AW118" s="326"/>
      <c r="AX118" s="326"/>
      <c r="AY118" s="326"/>
      <c r="AZ118" s="326"/>
      <c r="BA118" s="13"/>
      <c r="BB118" s="13"/>
      <c r="BC118" s="13"/>
      <c r="BD118" s="13"/>
      <c r="BE118" s="13"/>
      <c r="BF118" s="13"/>
      <c r="BG118" s="13"/>
      <c r="BH118" s="13"/>
      <c r="BI118" s="13"/>
      <c r="BJ118" s="13"/>
      <c r="BK118" s="13"/>
      <c r="BL118" s="13"/>
      <c r="BM118" s="13"/>
      <c r="BN118" s="13"/>
    </row>
    <row r="119" spans="1:66" ht="16.5" hidden="1" customHeight="1" x14ac:dyDescent="0.25">
      <c r="A119" s="874"/>
      <c r="B119" s="874"/>
      <c r="C119" s="874"/>
      <c r="D119" s="874"/>
      <c r="E119" s="874"/>
      <c r="F119" s="673">
        <v>90000</v>
      </c>
      <c r="G119" s="874"/>
      <c r="H119" s="672"/>
      <c r="I119" s="874"/>
      <c r="J119" s="561"/>
      <c r="K119" s="561"/>
      <c r="L119" s="23"/>
      <c r="M119" s="23"/>
      <c r="O119" s="326"/>
      <c r="P119" s="326"/>
      <c r="Q119" s="326"/>
      <c r="R119" s="326"/>
      <c r="S119" s="326"/>
      <c r="T119" s="326"/>
      <c r="U119" s="326"/>
      <c r="V119" s="326"/>
      <c r="W119" s="326"/>
      <c r="X119" s="326"/>
      <c r="Y119" s="326"/>
      <c r="Z119" s="510"/>
      <c r="AA119" s="510"/>
      <c r="AB119" s="326"/>
      <c r="AC119" s="326"/>
      <c r="AD119" s="510"/>
      <c r="AE119" s="510"/>
      <c r="AF119" s="326"/>
      <c r="AG119" s="326"/>
      <c r="AH119" s="326"/>
      <c r="AI119" s="326"/>
      <c r="AJ119" s="326"/>
      <c r="AK119" s="326"/>
      <c r="AL119" s="326"/>
      <c r="AM119" s="326"/>
      <c r="AN119" s="326"/>
      <c r="AO119" s="326"/>
      <c r="AP119" s="326"/>
      <c r="AQ119" s="326"/>
      <c r="AR119" s="326"/>
      <c r="AS119" s="326"/>
      <c r="AT119" s="326"/>
      <c r="AU119" s="326"/>
      <c r="AV119" s="326"/>
      <c r="AW119" s="326"/>
      <c r="AX119" s="326"/>
      <c r="AY119" s="326"/>
      <c r="AZ119" s="326"/>
      <c r="BA119" s="13"/>
      <c r="BB119" s="13"/>
      <c r="BC119" s="13"/>
      <c r="BD119" s="13"/>
      <c r="BE119" s="13"/>
      <c r="BF119" s="13"/>
      <c r="BG119" s="13"/>
      <c r="BH119" s="13"/>
      <c r="BI119" s="13"/>
      <c r="BJ119" s="13"/>
      <c r="BK119" s="13"/>
      <c r="BL119" s="13"/>
      <c r="BM119" s="13"/>
      <c r="BN119" s="13"/>
    </row>
    <row r="120" spans="1:66" ht="16.5" hidden="1" customHeight="1" x14ac:dyDescent="0.25">
      <c r="A120" s="874"/>
      <c r="B120" s="874"/>
      <c r="C120" s="874"/>
      <c r="D120" s="874"/>
      <c r="E120" s="874"/>
      <c r="F120" s="673">
        <v>95000</v>
      </c>
      <c r="G120" s="874"/>
      <c r="H120" s="672"/>
      <c r="I120" s="874"/>
      <c r="J120" s="561"/>
      <c r="K120" s="561"/>
      <c r="L120" s="23"/>
      <c r="M120" s="23"/>
      <c r="O120" s="326"/>
      <c r="P120" s="326"/>
      <c r="Q120" s="326"/>
      <c r="R120" s="326"/>
      <c r="S120" s="326"/>
      <c r="T120" s="326"/>
      <c r="U120" s="326"/>
      <c r="V120" s="326"/>
      <c r="W120" s="326"/>
      <c r="X120" s="326"/>
      <c r="Y120" s="326"/>
      <c r="Z120" s="510"/>
      <c r="AA120" s="510"/>
      <c r="AB120" s="326"/>
      <c r="AC120" s="326"/>
      <c r="AD120" s="510"/>
      <c r="AE120" s="510"/>
      <c r="AF120" s="326"/>
      <c r="AG120" s="326"/>
      <c r="AH120" s="326"/>
      <c r="AI120" s="326"/>
      <c r="AJ120" s="326"/>
      <c r="AK120" s="326"/>
      <c r="AL120" s="326"/>
      <c r="AM120" s="326"/>
      <c r="AN120" s="326"/>
      <c r="AO120" s="326"/>
      <c r="AP120" s="326"/>
      <c r="AQ120" s="326"/>
      <c r="AR120" s="326"/>
      <c r="AS120" s="326"/>
      <c r="AT120" s="326"/>
      <c r="AU120" s="326"/>
      <c r="AV120" s="326"/>
      <c r="AW120" s="326"/>
      <c r="AX120" s="326"/>
      <c r="AY120" s="326"/>
      <c r="AZ120" s="326"/>
      <c r="BA120" s="13"/>
      <c r="BB120" s="13"/>
      <c r="BC120" s="13"/>
      <c r="BD120" s="13"/>
      <c r="BE120" s="13"/>
      <c r="BF120" s="13"/>
      <c r="BG120" s="13"/>
      <c r="BH120" s="13"/>
      <c r="BI120" s="13"/>
      <c r="BJ120" s="13"/>
      <c r="BK120" s="13"/>
      <c r="BL120" s="13"/>
      <c r="BM120" s="13"/>
      <c r="BN120" s="13"/>
    </row>
    <row r="121" spans="1:66" ht="16.5" hidden="1" customHeight="1" x14ac:dyDescent="0.25">
      <c r="A121" s="874"/>
      <c r="B121" s="874"/>
      <c r="C121" s="874"/>
      <c r="D121" s="874"/>
      <c r="E121" s="874"/>
      <c r="F121" s="673">
        <v>100000</v>
      </c>
      <c r="G121" s="874"/>
      <c r="H121" s="672"/>
      <c r="I121" s="874"/>
      <c r="J121" s="561"/>
      <c r="K121" s="561"/>
      <c r="L121" s="23"/>
      <c r="M121" s="23"/>
      <c r="O121" s="326"/>
      <c r="P121" s="326"/>
      <c r="Q121" s="326"/>
      <c r="R121" s="326"/>
      <c r="S121" s="326"/>
      <c r="T121" s="326"/>
      <c r="U121" s="326"/>
      <c r="V121" s="326"/>
      <c r="W121" s="326"/>
      <c r="X121" s="326"/>
      <c r="Y121" s="326"/>
      <c r="Z121" s="510"/>
      <c r="AA121" s="510"/>
      <c r="AB121" s="326"/>
      <c r="AC121" s="326"/>
      <c r="AD121" s="510"/>
      <c r="AE121" s="510"/>
      <c r="AF121" s="326"/>
      <c r="AG121" s="326"/>
      <c r="AH121" s="326"/>
      <c r="AI121" s="326"/>
      <c r="AJ121" s="326"/>
      <c r="AK121" s="326"/>
      <c r="AL121" s="326"/>
      <c r="AM121" s="326"/>
      <c r="AN121" s="326"/>
      <c r="AO121" s="326"/>
      <c r="AP121" s="326"/>
      <c r="AQ121" s="326"/>
      <c r="AR121" s="326"/>
      <c r="AS121" s="326"/>
      <c r="AT121" s="326"/>
      <c r="AU121" s="326"/>
      <c r="AV121" s="326"/>
      <c r="AW121" s="326"/>
      <c r="AX121" s="326"/>
      <c r="AY121" s="326"/>
      <c r="AZ121" s="326"/>
      <c r="BA121" s="13"/>
      <c r="BB121" s="13"/>
      <c r="BC121" s="13"/>
      <c r="BD121" s="13"/>
      <c r="BE121" s="13"/>
      <c r="BF121" s="13"/>
      <c r="BG121" s="13"/>
      <c r="BH121" s="13"/>
      <c r="BI121" s="13"/>
      <c r="BJ121" s="13"/>
      <c r="BK121" s="13"/>
      <c r="BL121" s="13"/>
      <c r="BM121" s="13"/>
      <c r="BN121" s="13"/>
    </row>
    <row r="122" spans="1:66" ht="16.5" hidden="1" customHeight="1" thickBot="1" x14ac:dyDescent="0.3">
      <c r="A122" s="874"/>
      <c r="B122" s="874"/>
      <c r="C122" s="874"/>
      <c r="D122" s="874"/>
      <c r="E122" s="874"/>
      <c r="F122" s="673">
        <v>181500</v>
      </c>
      <c r="G122" s="874"/>
      <c r="H122" s="672"/>
      <c r="I122" s="874"/>
      <c r="J122" s="561"/>
      <c r="K122" s="561"/>
      <c r="L122" s="23"/>
      <c r="M122" s="23"/>
      <c r="O122" s="326"/>
      <c r="P122" s="326"/>
      <c r="Q122" s="326"/>
      <c r="R122" s="326"/>
      <c r="S122" s="326"/>
      <c r="T122" s="326"/>
      <c r="U122" s="326"/>
      <c r="V122" s="326"/>
      <c r="W122" s="326"/>
      <c r="X122" s="326"/>
      <c r="Y122" s="326"/>
      <c r="Z122" s="510"/>
      <c r="AA122" s="510"/>
      <c r="AB122" s="326"/>
      <c r="AC122" s="326"/>
      <c r="AD122" s="510"/>
      <c r="AE122" s="510"/>
      <c r="AF122" s="326"/>
      <c r="AG122" s="326"/>
      <c r="AH122" s="326"/>
      <c r="AI122" s="326"/>
      <c r="AJ122" s="326"/>
      <c r="AK122" s="326"/>
      <c r="AL122" s="326"/>
      <c r="AM122" s="326"/>
      <c r="AN122" s="326"/>
      <c r="AO122" s="326"/>
      <c r="AP122" s="326"/>
      <c r="AQ122" s="326"/>
      <c r="AR122" s="326"/>
      <c r="AS122" s="326"/>
      <c r="AT122" s="326"/>
      <c r="AU122" s="326"/>
      <c r="AV122" s="326"/>
      <c r="AW122" s="326"/>
      <c r="AX122" s="326"/>
      <c r="AY122" s="326"/>
      <c r="AZ122" s="326"/>
      <c r="BA122" s="13"/>
      <c r="BB122" s="13"/>
      <c r="BC122" s="13"/>
      <c r="BD122" s="13"/>
      <c r="BE122" s="13"/>
      <c r="BF122" s="13"/>
      <c r="BG122" s="13"/>
      <c r="BH122" s="13"/>
      <c r="BI122" s="13"/>
      <c r="BJ122" s="13"/>
      <c r="BK122" s="13"/>
      <c r="BL122" s="13"/>
      <c r="BM122" s="13"/>
      <c r="BN122" s="13"/>
    </row>
    <row r="123" spans="1:66" s="15" customFormat="1" ht="15" customHeight="1" thickTop="1" thickBot="1" x14ac:dyDescent="0.3">
      <c r="A123" s="438" t="s">
        <v>197</v>
      </c>
      <c r="B123" s="438"/>
      <c r="C123" s="438"/>
      <c r="D123" s="438"/>
      <c r="E123" s="438"/>
      <c r="F123" s="455"/>
      <c r="G123" s="438"/>
      <c r="H123" s="439"/>
      <c r="I123" s="438"/>
      <c r="J123" s="438"/>
      <c r="K123" s="320"/>
      <c r="L123" s="23"/>
      <c r="M123" s="23"/>
      <c r="N123" s="328"/>
      <c r="O123" s="326"/>
      <c r="P123" s="640"/>
      <c r="Q123" s="326"/>
      <c r="R123" s="326"/>
      <c r="S123" s="326"/>
      <c r="T123" s="326"/>
      <c r="U123" s="326"/>
      <c r="V123" s="326"/>
      <c r="W123" s="326"/>
      <c r="X123" s="326"/>
      <c r="Y123" s="326"/>
      <c r="Z123" s="510"/>
      <c r="AA123" s="510"/>
      <c r="AB123" s="326"/>
      <c r="AC123" s="326"/>
      <c r="AD123" s="510"/>
      <c r="AE123" s="510"/>
      <c r="AF123" s="326"/>
      <c r="AG123" s="326"/>
      <c r="AH123" s="326"/>
      <c r="AI123" s="326"/>
      <c r="AJ123" s="326"/>
      <c r="AK123" s="326"/>
      <c r="AL123" s="326"/>
      <c r="AM123" s="326"/>
      <c r="AN123" s="326"/>
      <c r="AO123" s="326"/>
      <c r="AP123" s="326"/>
      <c r="AQ123" s="326"/>
      <c r="AR123" s="326"/>
      <c r="AS123" s="326"/>
      <c r="AT123" s="326"/>
      <c r="AU123" s="326"/>
      <c r="AV123" s="326"/>
      <c r="AW123" s="326"/>
      <c r="AX123" s="326"/>
      <c r="AY123" s="326"/>
      <c r="AZ123" s="326"/>
      <c r="BA123" s="13"/>
      <c r="BB123" s="13"/>
      <c r="BC123" s="13"/>
      <c r="BD123" s="13"/>
      <c r="BE123" s="13"/>
      <c r="BF123" s="13"/>
      <c r="BG123" s="13"/>
      <c r="BH123" s="13"/>
      <c r="BI123" s="13"/>
      <c r="BJ123" s="13"/>
      <c r="BK123" s="13"/>
      <c r="BL123" s="13"/>
      <c r="BM123" s="13"/>
      <c r="BN123" s="13"/>
    </row>
    <row r="124" spans="1:66" s="15" customFormat="1" ht="15" customHeight="1" thickTop="1" thickBot="1" x14ac:dyDescent="0.3">
      <c r="A124" s="443"/>
      <c r="B124" s="453"/>
      <c r="C124" s="328"/>
      <c r="D124" s="328"/>
      <c r="E124" s="328"/>
      <c r="F124" s="328"/>
      <c r="G124" s="328"/>
      <c r="H124" s="328"/>
      <c r="I124" s="328"/>
      <c r="J124" s="328"/>
      <c r="K124" s="328"/>
      <c r="L124" s="23"/>
      <c r="M124" s="23"/>
      <c r="N124" s="328"/>
      <c r="O124" s="326"/>
      <c r="P124" s="640"/>
      <c r="Q124" s="326"/>
      <c r="R124" s="326"/>
      <c r="S124" s="326"/>
      <c r="T124" s="326"/>
      <c r="U124" s="326"/>
      <c r="V124" s="326"/>
      <c r="W124" s="326"/>
      <c r="X124" s="326"/>
      <c r="Y124" s="326"/>
      <c r="Z124" s="510"/>
      <c r="AA124" s="510"/>
      <c r="AB124" s="326"/>
      <c r="AC124" s="326"/>
      <c r="AD124" s="510"/>
      <c r="AE124" s="510"/>
      <c r="AF124" s="326"/>
      <c r="AG124" s="326"/>
      <c r="AH124" s="326"/>
      <c r="AI124" s="326"/>
      <c r="AJ124" s="326"/>
      <c r="AK124" s="326"/>
      <c r="AL124" s="326"/>
      <c r="AM124" s="326"/>
      <c r="AN124" s="326"/>
      <c r="AO124" s="326"/>
      <c r="AP124" s="326"/>
      <c r="AQ124" s="326"/>
      <c r="AR124" s="326"/>
      <c r="AS124" s="326"/>
      <c r="AT124" s="326"/>
      <c r="AU124" s="326"/>
      <c r="AV124" s="326"/>
      <c r="AW124" s="326"/>
      <c r="AX124" s="326"/>
      <c r="AY124" s="326"/>
      <c r="AZ124" s="326"/>
      <c r="BA124" s="13"/>
      <c r="BB124" s="13"/>
      <c r="BC124" s="13"/>
      <c r="BD124" s="13"/>
      <c r="BE124" s="13"/>
      <c r="BF124" s="13"/>
      <c r="BG124" s="13"/>
      <c r="BH124" s="13"/>
      <c r="BI124" s="13"/>
      <c r="BJ124" s="13"/>
      <c r="BK124" s="13"/>
      <c r="BL124" s="13"/>
      <c r="BM124" s="13"/>
      <c r="BN124" s="13"/>
    </row>
    <row r="125" spans="1:66" ht="15" thickTop="1" thickBot="1" x14ac:dyDescent="0.3">
      <c r="A125" s="319" t="s">
        <v>424</v>
      </c>
      <c r="B125" s="319"/>
      <c r="C125" s="320"/>
      <c r="D125" s="320"/>
      <c r="E125" s="321" t="s">
        <v>60</v>
      </c>
      <c r="F125" s="320"/>
      <c r="G125" s="320"/>
      <c r="H125" s="320"/>
      <c r="I125" s="320"/>
      <c r="J125" s="320"/>
      <c r="K125" s="456" t="s">
        <v>104</v>
      </c>
      <c r="L125" s="193"/>
      <c r="M125" s="193"/>
      <c r="O125" s="326"/>
      <c r="P125" s="326"/>
      <c r="Q125" s="326"/>
      <c r="R125" s="326"/>
      <c r="S125" s="326"/>
      <c r="T125" s="326"/>
      <c r="U125" s="326"/>
      <c r="V125" s="326"/>
      <c r="W125" s="326"/>
      <c r="X125" s="326"/>
      <c r="Y125" s="326"/>
      <c r="Z125" s="510"/>
      <c r="AA125" s="510"/>
      <c r="AB125" s="326"/>
      <c r="AC125" s="326"/>
      <c r="AD125" s="510"/>
      <c r="AE125" s="510"/>
      <c r="AF125" s="326"/>
      <c r="AG125" s="326"/>
      <c r="AH125" s="326"/>
      <c r="AI125" s="326"/>
      <c r="AJ125" s="326"/>
      <c r="AK125" s="326"/>
      <c r="AL125" s="326"/>
      <c r="AM125" s="326"/>
      <c r="AN125" s="326"/>
      <c r="AO125" s="326"/>
      <c r="AP125" s="326"/>
      <c r="AQ125" s="326"/>
      <c r="AR125" s="326"/>
      <c r="AS125" s="326"/>
      <c r="AT125" s="326"/>
      <c r="AU125" s="326"/>
      <c r="AV125" s="326"/>
      <c r="AW125" s="326"/>
      <c r="AX125" s="326"/>
      <c r="AY125" s="326"/>
      <c r="AZ125" s="326"/>
      <c r="BA125" s="13"/>
      <c r="BB125" s="13"/>
      <c r="BC125" s="13"/>
      <c r="BD125" s="13"/>
      <c r="BE125" s="13"/>
      <c r="BF125" s="13"/>
      <c r="BG125" s="13"/>
      <c r="BH125" s="13"/>
      <c r="BI125" s="13"/>
      <c r="BJ125" s="13"/>
      <c r="BK125" s="13"/>
      <c r="BL125" s="13"/>
      <c r="BM125" s="13"/>
      <c r="BN125" s="13"/>
    </row>
    <row r="126" spans="1:66" ht="20.25" customHeight="1" thickTop="1" x14ac:dyDescent="0.25">
      <c r="A126" s="319" t="s">
        <v>126</v>
      </c>
      <c r="B126" s="319"/>
      <c r="C126" s="320"/>
      <c r="D126" s="320"/>
      <c r="E126" s="320"/>
      <c r="F126" s="320"/>
      <c r="G126" s="320"/>
      <c r="H126" s="320"/>
      <c r="I126" s="320"/>
      <c r="J126" s="320"/>
      <c r="K126" s="438"/>
      <c r="L126" s="90"/>
      <c r="M126" s="90"/>
      <c r="O126" s="326"/>
      <c r="P126" s="326"/>
      <c r="Q126" s="326"/>
      <c r="R126" s="326"/>
      <c r="S126" s="326"/>
      <c r="T126" s="326"/>
      <c r="U126" s="326"/>
      <c r="V126" s="326"/>
      <c r="W126" s="326"/>
      <c r="X126" s="326"/>
      <c r="Y126" s="326"/>
      <c r="Z126" s="510"/>
      <c r="AA126" s="510"/>
      <c r="AB126" s="326"/>
    </row>
    <row r="127" spans="1:66" x14ac:dyDescent="0.25">
      <c r="A127" s="319" t="s">
        <v>130</v>
      </c>
      <c r="B127" s="320"/>
      <c r="C127" s="320"/>
      <c r="D127" s="320"/>
      <c r="E127" s="320"/>
      <c r="F127" s="320"/>
      <c r="G127" s="320"/>
      <c r="H127" s="320"/>
      <c r="I127" s="320"/>
      <c r="J127" s="320"/>
      <c r="K127" s="320"/>
      <c r="L127" s="23"/>
      <c r="M127" s="23"/>
    </row>
    <row r="128" spans="1:66" ht="14.4" thickBot="1" x14ac:dyDescent="0.3">
      <c r="A128" s="319" t="s">
        <v>166</v>
      </c>
      <c r="B128" s="320"/>
      <c r="C128" s="320"/>
      <c r="D128" s="320"/>
      <c r="E128" s="320"/>
      <c r="F128" s="320"/>
      <c r="G128" s="320"/>
      <c r="H128" s="320"/>
      <c r="I128" s="320"/>
      <c r="J128" s="320"/>
      <c r="K128" s="320"/>
      <c r="L128" s="23"/>
      <c r="M128" s="23"/>
    </row>
    <row r="129" spans="1:31" ht="15" thickTop="1" thickBot="1" x14ac:dyDescent="0.3">
      <c r="A129" s="319" t="s">
        <v>448</v>
      </c>
      <c r="B129" s="320"/>
      <c r="C129" s="320"/>
      <c r="D129" s="320"/>
      <c r="E129" s="320"/>
      <c r="F129" s="320"/>
      <c r="G129" s="320"/>
      <c r="H129" s="320"/>
      <c r="I129" s="320"/>
      <c r="J129" s="320"/>
      <c r="K129" s="457"/>
      <c r="L129" s="194"/>
      <c r="M129" s="194"/>
    </row>
    <row r="130" spans="1:31" ht="14.4" thickTop="1" x14ac:dyDescent="0.25">
      <c r="A130" s="319" t="s">
        <v>449</v>
      </c>
      <c r="B130" s="320"/>
      <c r="C130" s="320"/>
      <c r="D130" s="320"/>
      <c r="E130" s="320"/>
      <c r="F130" s="320"/>
      <c r="G130" s="320"/>
      <c r="H130" s="320"/>
      <c r="I130" s="320"/>
      <c r="J130" s="320"/>
      <c r="K130" s="320"/>
      <c r="L130" s="194"/>
      <c r="M130" s="194"/>
    </row>
    <row r="131" spans="1:31" x14ac:dyDescent="0.25">
      <c r="A131" s="453"/>
      <c r="B131" s="325"/>
      <c r="C131" s="325"/>
      <c r="D131" s="325"/>
      <c r="E131" s="325"/>
      <c r="F131" s="325"/>
      <c r="G131" s="325"/>
      <c r="H131" s="325"/>
      <c r="I131" s="325"/>
      <c r="J131" s="325"/>
      <c r="K131" s="893"/>
      <c r="L131" s="194"/>
      <c r="M131" s="194"/>
    </row>
    <row r="132" spans="1:31" ht="24.75" customHeight="1" thickBot="1" x14ac:dyDescent="0.4">
      <c r="A132" s="831" t="s">
        <v>429</v>
      </c>
      <c r="B132" s="453"/>
      <c r="C132" s="328"/>
      <c r="D132" s="328"/>
      <c r="E132" s="328"/>
      <c r="F132" s="328"/>
      <c r="G132" s="328"/>
      <c r="H132" s="328"/>
      <c r="I132" s="328"/>
      <c r="J132" s="328"/>
      <c r="K132" s="443"/>
      <c r="L132" s="90"/>
      <c r="M132" s="90"/>
    </row>
    <row r="133" spans="1:31" ht="15.6" thickTop="1" thickBot="1" x14ac:dyDescent="0.35">
      <c r="A133" s="319" t="s">
        <v>425</v>
      </c>
      <c r="B133" s="319"/>
      <c r="C133" s="321" t="s">
        <v>60</v>
      </c>
      <c r="D133" s="320"/>
      <c r="E133" s="320"/>
      <c r="F133" s="320"/>
      <c r="G133" s="320"/>
      <c r="H133" s="458"/>
      <c r="I133" s="320"/>
      <c r="J133" s="320"/>
      <c r="K133" s="311" t="s">
        <v>266</v>
      </c>
      <c r="L133" s="90"/>
      <c r="M133" s="90"/>
    </row>
    <row r="134" spans="1:31" ht="14.4" thickTop="1" x14ac:dyDescent="0.25">
      <c r="A134" s="319" t="s">
        <v>127</v>
      </c>
      <c r="B134" s="319"/>
      <c r="C134" s="320"/>
      <c r="D134" s="320"/>
      <c r="E134" s="320"/>
      <c r="F134" s="320"/>
      <c r="G134" s="320"/>
      <c r="H134" s="320"/>
      <c r="I134" s="438"/>
      <c r="J134" s="320"/>
      <c r="K134" s="438"/>
      <c r="L134" s="90"/>
      <c r="M134" s="90"/>
      <c r="Z134" s="866"/>
      <c r="AA134" s="866"/>
      <c r="AD134" s="866"/>
      <c r="AE134" s="866"/>
    </row>
    <row r="135" spans="1:31" x14ac:dyDescent="0.25">
      <c r="A135" s="319" t="s">
        <v>337</v>
      </c>
      <c r="B135" s="319"/>
      <c r="C135" s="320"/>
      <c r="D135" s="320"/>
      <c r="E135" s="320"/>
      <c r="F135" s="320"/>
      <c r="G135" s="320"/>
      <c r="H135" s="320"/>
      <c r="I135" s="438"/>
      <c r="J135" s="320"/>
      <c r="K135" s="438"/>
      <c r="L135" s="90"/>
      <c r="M135" s="90"/>
      <c r="Z135" s="866"/>
      <c r="AA135" s="866"/>
      <c r="AD135" s="866"/>
      <c r="AE135" s="866"/>
    </row>
    <row r="136" spans="1:31" x14ac:dyDescent="0.25">
      <c r="A136" s="319" t="s">
        <v>338</v>
      </c>
      <c r="B136" s="319"/>
      <c r="C136" s="320"/>
      <c r="D136" s="320"/>
      <c r="E136" s="320"/>
      <c r="F136" s="320"/>
      <c r="G136" s="320"/>
      <c r="H136" s="320"/>
      <c r="I136" s="438"/>
      <c r="J136" s="320"/>
      <c r="K136" s="438"/>
      <c r="L136" s="90"/>
      <c r="M136" s="90"/>
      <c r="Z136" s="866"/>
      <c r="AA136" s="866"/>
      <c r="AD136" s="866"/>
      <c r="AE136" s="866"/>
    </row>
    <row r="137" spans="1:31" ht="14.4" thickBot="1" x14ac:dyDescent="0.3">
      <c r="A137" s="453"/>
      <c r="B137" s="453"/>
      <c r="C137" s="328"/>
      <c r="D137" s="328"/>
      <c r="E137" s="328"/>
      <c r="F137" s="328"/>
      <c r="G137" s="328"/>
      <c r="H137" s="328"/>
      <c r="I137" s="328"/>
      <c r="J137" s="328"/>
      <c r="K137" s="443"/>
      <c r="L137" s="90"/>
      <c r="M137" s="90"/>
    </row>
    <row r="138" spans="1:31" ht="15.6" thickTop="1" thickBot="1" x14ac:dyDescent="0.35">
      <c r="A138" s="319" t="s">
        <v>426</v>
      </c>
      <c r="B138" s="319"/>
      <c r="C138" s="320"/>
      <c r="D138" s="320"/>
      <c r="E138" s="321">
        <v>0</v>
      </c>
      <c r="F138" s="458"/>
      <c r="G138" s="458"/>
      <c r="H138" s="458"/>
      <c r="I138" s="320"/>
      <c r="J138" s="320"/>
      <c r="K138" s="311" t="s">
        <v>266</v>
      </c>
      <c r="L138" s="90"/>
      <c r="M138" s="90"/>
    </row>
    <row r="139" spans="1:31" ht="14.4" hidden="1" thickTop="1" x14ac:dyDescent="0.25">
      <c r="A139" s="539"/>
      <c r="B139" s="539"/>
      <c r="C139" s="539"/>
      <c r="D139" s="539"/>
      <c r="E139" s="561"/>
      <c r="F139" s="561"/>
      <c r="G139" s="561"/>
      <c r="H139" s="561"/>
      <c r="I139" s="561"/>
      <c r="J139" s="674" t="s">
        <v>70</v>
      </c>
      <c r="K139" s="675" t="s">
        <v>62</v>
      </c>
      <c r="L139" s="195"/>
      <c r="M139" s="195"/>
    </row>
    <row r="140" spans="1:31" ht="14.4" hidden="1" thickTop="1" x14ac:dyDescent="0.25">
      <c r="A140" s="539"/>
      <c r="B140" s="539"/>
      <c r="C140" s="539"/>
      <c r="D140" s="539"/>
      <c r="E140" s="561"/>
      <c r="F140" s="561"/>
      <c r="G140" s="561"/>
      <c r="H140" s="561"/>
      <c r="I140" s="561"/>
      <c r="J140" s="676">
        <v>0</v>
      </c>
      <c r="K140" s="677">
        <f>IF($E$138=0, 0,0)</f>
        <v>0</v>
      </c>
      <c r="L140" s="196"/>
      <c r="M140" s="196"/>
    </row>
    <row r="141" spans="1:31" ht="14.4" hidden="1" thickTop="1" x14ac:dyDescent="0.25">
      <c r="A141" s="539"/>
      <c r="B141" s="539"/>
      <c r="C141" s="539"/>
      <c r="D141" s="539"/>
      <c r="E141" s="561"/>
      <c r="F141" s="561"/>
      <c r="G141" s="561"/>
      <c r="H141" s="561"/>
      <c r="I141" s="561"/>
      <c r="J141" s="676">
        <v>1</v>
      </c>
      <c r="K141" s="677">
        <f>IF($E$138=1, 25000,0)</f>
        <v>0</v>
      </c>
      <c r="L141" s="196"/>
      <c r="M141" s="196"/>
    </row>
    <row r="142" spans="1:31" ht="14.4" hidden="1" thickTop="1" x14ac:dyDescent="0.25">
      <c r="A142" s="539"/>
      <c r="B142" s="539"/>
      <c r="C142" s="539"/>
      <c r="D142" s="539"/>
      <c r="E142" s="561"/>
      <c r="F142" s="561"/>
      <c r="G142" s="561"/>
      <c r="H142" s="561"/>
      <c r="I142" s="561"/>
      <c r="J142" s="676">
        <v>2</v>
      </c>
      <c r="K142" s="677">
        <f>IF($E$138=2, 50000,0)</f>
        <v>0</v>
      </c>
      <c r="L142" s="196"/>
      <c r="M142" s="196"/>
    </row>
    <row r="143" spans="1:31" ht="14.4" hidden="1" thickTop="1" x14ac:dyDescent="0.25">
      <c r="A143" s="539"/>
      <c r="B143" s="539"/>
      <c r="C143" s="539"/>
      <c r="D143" s="539"/>
      <c r="E143" s="561"/>
      <c r="F143" s="561"/>
      <c r="G143" s="561"/>
      <c r="H143" s="561"/>
      <c r="I143" s="561"/>
      <c r="J143" s="676">
        <v>3</v>
      </c>
      <c r="K143" s="677">
        <f>IF($E$138=3, 75000,0)</f>
        <v>0</v>
      </c>
      <c r="L143" s="196"/>
      <c r="M143" s="196"/>
    </row>
    <row r="144" spans="1:31" ht="13.5" hidden="1" customHeight="1" x14ac:dyDescent="0.25">
      <c r="A144" s="539"/>
      <c r="B144" s="539"/>
      <c r="C144" s="539"/>
      <c r="D144" s="539"/>
      <c r="E144" s="561"/>
      <c r="F144" s="561"/>
      <c r="G144" s="561"/>
      <c r="H144" s="561"/>
      <c r="I144" s="561"/>
      <c r="J144" s="676">
        <v>4</v>
      </c>
      <c r="K144" s="677">
        <f>IF($E$138=4, 100000,0)</f>
        <v>0</v>
      </c>
      <c r="L144" s="196"/>
      <c r="M144" s="196"/>
    </row>
    <row r="145" spans="1:13" ht="13.5" hidden="1" customHeight="1" x14ac:dyDescent="0.25">
      <c r="A145" s="539"/>
      <c r="B145" s="539"/>
      <c r="C145" s="539"/>
      <c r="D145" s="539"/>
      <c r="E145" s="561"/>
      <c r="F145" s="561"/>
      <c r="G145" s="561"/>
      <c r="H145" s="561"/>
      <c r="I145" s="561"/>
      <c r="J145" s="676">
        <v>5</v>
      </c>
      <c r="K145" s="677">
        <f>IF($E$138=5, 125000,0)</f>
        <v>0</v>
      </c>
      <c r="L145" s="196"/>
      <c r="M145" s="196"/>
    </row>
    <row r="146" spans="1:13" ht="14.4" hidden="1" thickTop="1" x14ac:dyDescent="0.25">
      <c r="A146" s="539"/>
      <c r="B146" s="539"/>
      <c r="C146" s="539"/>
      <c r="D146" s="539"/>
      <c r="E146" s="561"/>
      <c r="F146" s="561"/>
      <c r="G146" s="561"/>
      <c r="H146" s="561"/>
      <c r="I146" s="561"/>
      <c r="J146" s="676">
        <v>6</v>
      </c>
      <c r="K146" s="677">
        <f>IF($E$138=6, 150000,0)</f>
        <v>0</v>
      </c>
      <c r="L146" s="196"/>
      <c r="M146" s="196"/>
    </row>
    <row r="147" spans="1:13" ht="14.4" hidden="1" thickTop="1" x14ac:dyDescent="0.25">
      <c r="A147" s="539"/>
      <c r="B147" s="539"/>
      <c r="C147" s="539"/>
      <c r="D147" s="539"/>
      <c r="E147" s="561"/>
      <c r="F147" s="561"/>
      <c r="G147" s="561"/>
      <c r="H147" s="561"/>
      <c r="I147" s="561"/>
      <c r="J147" s="676">
        <v>7</v>
      </c>
      <c r="K147" s="677">
        <f>IF($E$138=7, 175000,0)</f>
        <v>0</v>
      </c>
      <c r="L147" s="196"/>
      <c r="M147" s="196"/>
    </row>
    <row r="148" spans="1:13" ht="14.4" hidden="1" thickTop="1" x14ac:dyDescent="0.25">
      <c r="A148" s="539"/>
      <c r="B148" s="539"/>
      <c r="C148" s="539"/>
      <c r="D148" s="539"/>
      <c r="E148" s="561"/>
      <c r="F148" s="561"/>
      <c r="G148" s="561"/>
      <c r="H148" s="561"/>
      <c r="I148" s="561"/>
      <c r="J148" s="676">
        <v>8</v>
      </c>
      <c r="K148" s="677">
        <f>IF($E$138=8, 200000,0)</f>
        <v>0</v>
      </c>
      <c r="L148" s="196"/>
      <c r="M148" s="196"/>
    </row>
    <row r="149" spans="1:13" ht="14.4" hidden="1" thickTop="1" x14ac:dyDescent="0.25">
      <c r="A149" s="539"/>
      <c r="B149" s="539"/>
      <c r="C149" s="539"/>
      <c r="D149" s="539"/>
      <c r="E149" s="561"/>
      <c r="F149" s="561"/>
      <c r="G149" s="561"/>
      <c r="H149" s="561"/>
      <c r="I149" s="561"/>
      <c r="J149" s="676">
        <v>9</v>
      </c>
      <c r="K149" s="677">
        <f>IF($E$138=9, 225000,0)</f>
        <v>0</v>
      </c>
      <c r="L149" s="196"/>
      <c r="M149" s="196"/>
    </row>
    <row r="150" spans="1:13" ht="14.4" hidden="1" thickTop="1" x14ac:dyDescent="0.25">
      <c r="A150" s="539"/>
      <c r="B150" s="539"/>
      <c r="C150" s="539"/>
      <c r="D150" s="539"/>
      <c r="E150" s="561"/>
      <c r="F150" s="561"/>
      <c r="G150" s="561"/>
      <c r="H150" s="561"/>
      <c r="I150" s="561"/>
      <c r="J150" s="676">
        <v>10</v>
      </c>
      <c r="K150" s="677">
        <f>IF($E$138=10, 250000,0)</f>
        <v>0</v>
      </c>
      <c r="L150" s="196"/>
      <c r="M150" s="196"/>
    </row>
    <row r="151" spans="1:13" ht="14.4" hidden="1" thickTop="1" x14ac:dyDescent="0.25">
      <c r="A151" s="539"/>
      <c r="B151" s="539"/>
      <c r="C151" s="539"/>
      <c r="D151" s="539"/>
      <c r="E151" s="561"/>
      <c r="F151" s="561"/>
      <c r="G151" s="561"/>
      <c r="H151" s="561"/>
      <c r="I151" s="561"/>
      <c r="J151" s="676">
        <v>11</v>
      </c>
      <c r="K151" s="677">
        <f>IF($E$138=11, 275000,0)</f>
        <v>0</v>
      </c>
      <c r="L151" s="196"/>
      <c r="M151" s="196"/>
    </row>
    <row r="152" spans="1:13" ht="14.4" hidden="1" thickTop="1" x14ac:dyDescent="0.25">
      <c r="A152" s="539"/>
      <c r="B152" s="539"/>
      <c r="C152" s="539"/>
      <c r="D152" s="539"/>
      <c r="E152" s="561"/>
      <c r="F152" s="561"/>
      <c r="G152" s="561"/>
      <c r="H152" s="561"/>
      <c r="I152" s="561"/>
      <c r="J152" s="676">
        <v>12</v>
      </c>
      <c r="K152" s="677">
        <f>IF($E$138=12, 300000,0)</f>
        <v>0</v>
      </c>
      <c r="L152" s="196"/>
      <c r="M152" s="196"/>
    </row>
    <row r="153" spans="1:13" ht="14.4" hidden="1" thickTop="1" x14ac:dyDescent="0.25">
      <c r="A153" s="539"/>
      <c r="B153" s="539"/>
      <c r="C153" s="539"/>
      <c r="D153" s="539"/>
      <c r="E153" s="561"/>
      <c r="F153" s="561"/>
      <c r="G153" s="561"/>
      <c r="H153" s="561"/>
      <c r="I153" s="561"/>
      <c r="J153" s="676">
        <v>13</v>
      </c>
      <c r="K153" s="677">
        <f>IF($E$138=13, 325000,0)</f>
        <v>0</v>
      </c>
      <c r="L153" s="196"/>
      <c r="M153" s="196"/>
    </row>
    <row r="154" spans="1:13" ht="14.4" hidden="1" thickTop="1" x14ac:dyDescent="0.25">
      <c r="A154" s="539"/>
      <c r="B154" s="539"/>
      <c r="C154" s="539"/>
      <c r="D154" s="539"/>
      <c r="E154" s="561"/>
      <c r="F154" s="561"/>
      <c r="G154" s="561"/>
      <c r="H154" s="561"/>
      <c r="I154" s="561"/>
      <c r="J154" s="676">
        <v>14</v>
      </c>
      <c r="K154" s="677">
        <f>IF($E$138=14, 350000,0)</f>
        <v>0</v>
      </c>
      <c r="L154" s="196"/>
      <c r="M154" s="196"/>
    </row>
    <row r="155" spans="1:13" ht="14.4" hidden="1" thickTop="1" x14ac:dyDescent="0.25">
      <c r="A155" s="539"/>
      <c r="B155" s="539"/>
      <c r="C155" s="539"/>
      <c r="D155" s="539"/>
      <c r="E155" s="561"/>
      <c r="F155" s="561"/>
      <c r="G155" s="561"/>
      <c r="H155" s="561"/>
      <c r="I155" s="561"/>
      <c r="J155" s="676">
        <v>15</v>
      </c>
      <c r="K155" s="677">
        <f>IF($E$138=15, 375000,0)</f>
        <v>0</v>
      </c>
      <c r="L155" s="196"/>
      <c r="M155" s="196"/>
    </row>
    <row r="156" spans="1:13" ht="14.4" hidden="1" thickTop="1" x14ac:dyDescent="0.25">
      <c r="A156" s="539"/>
      <c r="B156" s="539"/>
      <c r="C156" s="539"/>
      <c r="D156" s="539"/>
      <c r="E156" s="561"/>
      <c r="F156" s="561"/>
      <c r="G156" s="561"/>
      <c r="H156" s="561"/>
      <c r="I156" s="561"/>
      <c r="J156" s="676">
        <v>16</v>
      </c>
      <c r="K156" s="677">
        <f>IF($E$138=16, 400000,0)</f>
        <v>0</v>
      </c>
      <c r="L156" s="196"/>
      <c r="M156" s="196"/>
    </row>
    <row r="157" spans="1:13" ht="14.4" hidden="1" thickTop="1" x14ac:dyDescent="0.25">
      <c r="A157" s="539"/>
      <c r="B157" s="539"/>
      <c r="C157" s="539"/>
      <c r="D157" s="539"/>
      <c r="E157" s="561"/>
      <c r="F157" s="561"/>
      <c r="G157" s="561"/>
      <c r="H157" s="561"/>
      <c r="I157" s="561"/>
      <c r="J157" s="561">
        <v>17</v>
      </c>
      <c r="K157" s="677">
        <f>IF($E$138=17, 425000,0)</f>
        <v>0</v>
      </c>
      <c r="L157" s="196"/>
      <c r="M157" s="196"/>
    </row>
    <row r="158" spans="1:13" ht="14.4" hidden="1" thickTop="1" x14ac:dyDescent="0.25">
      <c r="A158" s="539"/>
      <c r="B158" s="539"/>
      <c r="C158" s="539"/>
      <c r="D158" s="539"/>
      <c r="E158" s="561"/>
      <c r="F158" s="561"/>
      <c r="G158" s="561"/>
      <c r="H158" s="561"/>
      <c r="I158" s="561"/>
      <c r="J158" s="561">
        <v>18</v>
      </c>
      <c r="K158" s="677">
        <f>IF($E$138=18, 450000,0)</f>
        <v>0</v>
      </c>
      <c r="L158" s="196"/>
      <c r="M158" s="196"/>
    </row>
    <row r="159" spans="1:13" ht="14.4" hidden="1" thickTop="1" x14ac:dyDescent="0.25">
      <c r="A159" s="539"/>
      <c r="B159" s="539"/>
      <c r="C159" s="539"/>
      <c r="D159" s="539"/>
      <c r="E159" s="561"/>
      <c r="F159" s="561"/>
      <c r="G159" s="561"/>
      <c r="H159" s="561"/>
      <c r="I159" s="561"/>
      <c r="J159" s="561">
        <v>19</v>
      </c>
      <c r="K159" s="677">
        <f>IF($E$138=19, 475000,0)</f>
        <v>0</v>
      </c>
      <c r="L159" s="196"/>
      <c r="M159" s="196"/>
    </row>
    <row r="160" spans="1:13" ht="14.4" hidden="1" thickTop="1" x14ac:dyDescent="0.25">
      <c r="A160" s="539"/>
      <c r="B160" s="539"/>
      <c r="C160" s="539"/>
      <c r="D160" s="539"/>
      <c r="E160" s="561"/>
      <c r="F160" s="561"/>
      <c r="G160" s="561"/>
      <c r="H160" s="561"/>
      <c r="I160" s="561"/>
      <c r="J160" s="561">
        <v>20</v>
      </c>
      <c r="K160" s="677">
        <f>IF($E$138=20, 500000,0)</f>
        <v>0</v>
      </c>
      <c r="L160" s="196"/>
      <c r="M160" s="196"/>
    </row>
    <row r="161" spans="1:31" ht="14.4" hidden="1" thickTop="1" x14ac:dyDescent="0.25">
      <c r="A161" s="539"/>
      <c r="B161" s="539"/>
      <c r="C161" s="539"/>
      <c r="D161" s="539"/>
      <c r="E161" s="561"/>
      <c r="F161" s="561"/>
      <c r="G161" s="561"/>
      <c r="H161" s="561"/>
      <c r="I161" s="561"/>
      <c r="J161" s="561">
        <v>21</v>
      </c>
      <c r="K161" s="677">
        <f>IF($E$138=21, 525000,0)</f>
        <v>0</v>
      </c>
      <c r="L161" s="196"/>
      <c r="M161" s="196"/>
    </row>
    <row r="162" spans="1:31" ht="14.4" hidden="1" thickTop="1" x14ac:dyDescent="0.25">
      <c r="A162" s="539"/>
      <c r="B162" s="539"/>
      <c r="C162" s="539"/>
      <c r="D162" s="539"/>
      <c r="E162" s="561"/>
      <c r="F162" s="561"/>
      <c r="G162" s="561"/>
      <c r="H162" s="561"/>
      <c r="I162" s="561"/>
      <c r="J162" s="561">
        <v>22</v>
      </c>
      <c r="K162" s="677">
        <f>IF($E$138=22, 555000,0)</f>
        <v>0</v>
      </c>
      <c r="L162" s="196"/>
      <c r="M162" s="196"/>
    </row>
    <row r="163" spans="1:31" ht="14.4" hidden="1" thickTop="1" x14ac:dyDescent="0.25">
      <c r="A163" s="539"/>
      <c r="B163" s="539"/>
      <c r="C163" s="539"/>
      <c r="D163" s="539"/>
      <c r="E163" s="561"/>
      <c r="F163" s="561"/>
      <c r="G163" s="561"/>
      <c r="H163" s="561"/>
      <c r="I163" s="561"/>
      <c r="J163" s="561">
        <v>23</v>
      </c>
      <c r="K163" s="677">
        <f>IF($E$138=23, 575000,0)</f>
        <v>0</v>
      </c>
      <c r="L163" s="196"/>
      <c r="M163" s="196"/>
    </row>
    <row r="164" spans="1:31" ht="14.4" hidden="1" thickTop="1" x14ac:dyDescent="0.25">
      <c r="A164" s="539"/>
      <c r="B164" s="539"/>
      <c r="C164" s="539"/>
      <c r="D164" s="539"/>
      <c r="E164" s="561"/>
      <c r="F164" s="561"/>
      <c r="G164" s="561"/>
      <c r="H164" s="561"/>
      <c r="I164" s="561"/>
      <c r="J164" s="561">
        <v>24</v>
      </c>
      <c r="K164" s="677">
        <f>IF($E$138=24, 600000,0)</f>
        <v>0</v>
      </c>
      <c r="L164" s="196"/>
      <c r="M164" s="196"/>
    </row>
    <row r="165" spans="1:31" ht="14.4" hidden="1" thickTop="1" x14ac:dyDescent="0.25">
      <c r="A165" s="539"/>
      <c r="B165" s="539"/>
      <c r="C165" s="539"/>
      <c r="D165" s="539"/>
      <c r="E165" s="561"/>
      <c r="F165" s="561"/>
      <c r="G165" s="561"/>
      <c r="H165" s="561"/>
      <c r="I165" s="561"/>
      <c r="J165" s="561">
        <v>25</v>
      </c>
      <c r="K165" s="677">
        <f>IF($E$138=25, 625000,0)</f>
        <v>0</v>
      </c>
      <c r="L165" s="196"/>
      <c r="M165" s="196"/>
    </row>
    <row r="166" spans="1:31" ht="14.4" hidden="1" thickTop="1" x14ac:dyDescent="0.25">
      <c r="A166" s="539"/>
      <c r="B166" s="539"/>
      <c r="C166" s="539"/>
      <c r="D166" s="539"/>
      <c r="E166" s="561"/>
      <c r="F166" s="561"/>
      <c r="G166" s="561"/>
      <c r="H166" s="561"/>
      <c r="I166" s="561"/>
      <c r="J166" s="561"/>
      <c r="K166" s="677"/>
      <c r="L166" s="196"/>
      <c r="M166" s="196"/>
    </row>
    <row r="167" spans="1:31" ht="15" thickTop="1" thickBot="1" x14ac:dyDescent="0.3">
      <c r="A167" s="453"/>
      <c r="B167" s="453"/>
      <c r="C167" s="328"/>
      <c r="D167" s="328"/>
      <c r="E167" s="328"/>
      <c r="F167" s="328"/>
      <c r="G167" s="328"/>
      <c r="H167" s="328"/>
      <c r="I167" s="328"/>
      <c r="J167" s="328"/>
      <c r="K167" s="443"/>
      <c r="L167" s="90"/>
      <c r="M167" s="90"/>
    </row>
    <row r="168" spans="1:31" ht="15.6" thickTop="1" thickBot="1" x14ac:dyDescent="0.35">
      <c r="A168" s="319" t="s">
        <v>427</v>
      </c>
      <c r="B168" s="319"/>
      <c r="C168" s="321" t="s">
        <v>60</v>
      </c>
      <c r="D168" s="320"/>
      <c r="E168" s="320"/>
      <c r="F168" s="320"/>
      <c r="G168" s="320"/>
      <c r="H168" s="458"/>
      <c r="I168" s="320"/>
      <c r="J168" s="320"/>
      <c r="K168" s="311" t="s">
        <v>226</v>
      </c>
      <c r="L168" s="192"/>
      <c r="M168" s="192"/>
    </row>
    <row r="169" spans="1:31" ht="14.4" thickTop="1" x14ac:dyDescent="0.25">
      <c r="A169" s="319" t="s">
        <v>329</v>
      </c>
      <c r="B169" s="319"/>
      <c r="C169" s="320"/>
      <c r="D169" s="320"/>
      <c r="E169" s="320"/>
      <c r="F169" s="320"/>
      <c r="G169" s="320"/>
      <c r="H169" s="320"/>
      <c r="I169" s="438"/>
      <c r="J169" s="320"/>
      <c r="K169" s="438"/>
      <c r="L169" s="90"/>
      <c r="M169" s="90"/>
    </row>
    <row r="170" spans="1:31" x14ac:dyDescent="0.25">
      <c r="A170" s="319" t="s">
        <v>339</v>
      </c>
      <c r="B170" s="319"/>
      <c r="C170" s="320"/>
      <c r="D170" s="320"/>
      <c r="E170" s="320"/>
      <c r="F170" s="320"/>
      <c r="G170" s="320"/>
      <c r="H170" s="320"/>
      <c r="I170" s="438"/>
      <c r="J170" s="320"/>
      <c r="K170" s="438"/>
      <c r="L170" s="90"/>
      <c r="M170" s="90"/>
    </row>
    <row r="171" spans="1:31" ht="23.25" customHeight="1" thickBot="1" x14ac:dyDescent="0.3">
      <c r="A171" s="319" t="s">
        <v>340</v>
      </c>
      <c r="B171" s="319"/>
      <c r="C171" s="320"/>
      <c r="D171" s="320"/>
      <c r="E171" s="320"/>
      <c r="F171" s="320"/>
      <c r="G171" s="320"/>
      <c r="H171" s="320"/>
      <c r="I171" s="438"/>
      <c r="J171" s="320"/>
      <c r="K171" s="320"/>
      <c r="L171" s="23"/>
      <c r="M171" s="23"/>
    </row>
    <row r="172" spans="1:31" ht="15" thickTop="1" thickBot="1" x14ac:dyDescent="0.3">
      <c r="A172" s="319" t="s">
        <v>363</v>
      </c>
      <c r="B172" s="320"/>
      <c r="C172" s="320"/>
      <c r="D172" s="320"/>
      <c r="E172" s="320"/>
      <c r="F172" s="320"/>
      <c r="G172" s="320"/>
      <c r="H172" s="320"/>
      <c r="I172" s="459"/>
      <c r="J172" s="320"/>
      <c r="K172" s="460"/>
      <c r="L172" s="197"/>
      <c r="M172" s="197"/>
    </row>
    <row r="173" spans="1:31" ht="15.6" thickTop="1" thickBot="1" x14ac:dyDescent="0.35">
      <c r="A173" s="458"/>
      <c r="B173" s="319"/>
      <c r="C173" s="320"/>
      <c r="D173" s="320"/>
      <c r="E173" s="319"/>
      <c r="F173" s="319"/>
      <c r="G173" s="319"/>
      <c r="H173" s="320"/>
      <c r="I173" s="459"/>
      <c r="J173" s="320"/>
      <c r="K173" s="460"/>
      <c r="L173" s="197"/>
      <c r="M173" s="197"/>
    </row>
    <row r="174" spans="1:31" ht="15.6" thickTop="1" thickBot="1" x14ac:dyDescent="0.35">
      <c r="A174" s="630"/>
      <c r="B174" s="450"/>
      <c r="C174" s="325"/>
      <c r="D174" s="325"/>
      <c r="E174" s="450"/>
      <c r="F174" s="450"/>
      <c r="G174" s="450"/>
      <c r="H174" s="325"/>
      <c r="I174" s="244"/>
      <c r="J174" s="325"/>
      <c r="K174" s="325"/>
      <c r="L174" s="23"/>
      <c r="M174" s="23"/>
    </row>
    <row r="175" spans="1:31" ht="15.6" thickTop="1" thickBot="1" x14ac:dyDescent="0.35">
      <c r="A175" s="319" t="s">
        <v>428</v>
      </c>
      <c r="B175" s="319"/>
      <c r="C175" s="320"/>
      <c r="D175" s="320"/>
      <c r="E175" s="321" t="s">
        <v>60</v>
      </c>
      <c r="F175" s="458"/>
      <c r="G175" s="320"/>
      <c r="H175" s="320"/>
      <c r="I175" s="438"/>
      <c r="J175" s="320"/>
      <c r="K175" s="311" t="s">
        <v>119</v>
      </c>
      <c r="L175" s="192"/>
      <c r="M175" s="192"/>
      <c r="Z175" s="866"/>
      <c r="AA175" s="866"/>
      <c r="AD175" s="866"/>
      <c r="AE175" s="866"/>
    </row>
    <row r="176" spans="1:31" ht="14.4" thickTop="1" x14ac:dyDescent="0.25">
      <c r="A176" s="319" t="s">
        <v>69</v>
      </c>
      <c r="B176" s="319"/>
      <c r="C176" s="320"/>
      <c r="D176" s="320"/>
      <c r="E176" s="320"/>
      <c r="F176" s="320"/>
      <c r="G176" s="320"/>
      <c r="H176" s="320"/>
      <c r="I176" s="438"/>
      <c r="J176" s="438"/>
      <c r="K176" s="438"/>
      <c r="L176" s="198"/>
      <c r="M176" s="198"/>
      <c r="Z176" s="866"/>
      <c r="AA176" s="866"/>
      <c r="AD176" s="866"/>
      <c r="AE176" s="866"/>
    </row>
    <row r="177" spans="1:52" x14ac:dyDescent="0.25">
      <c r="A177" s="319" t="s">
        <v>278</v>
      </c>
      <c r="B177" s="319"/>
      <c r="C177" s="320"/>
      <c r="D177" s="320"/>
      <c r="E177" s="320"/>
      <c r="F177" s="320"/>
      <c r="G177" s="320"/>
      <c r="H177" s="320"/>
      <c r="I177" s="438"/>
      <c r="J177" s="438"/>
      <c r="K177" s="438"/>
      <c r="L177" s="198"/>
      <c r="M177" s="198"/>
      <c r="N177" s="326"/>
      <c r="Z177" s="866"/>
      <c r="AA177" s="866"/>
      <c r="AD177" s="866"/>
      <c r="AE177" s="866"/>
    </row>
    <row r="178" spans="1:52" x14ac:dyDescent="0.25">
      <c r="A178" s="319" t="s">
        <v>116</v>
      </c>
      <c r="B178" s="319"/>
      <c r="C178" s="320"/>
      <c r="D178" s="320"/>
      <c r="E178" s="320"/>
      <c r="F178" s="320"/>
      <c r="G178" s="320"/>
      <c r="H178" s="320"/>
      <c r="I178" s="438"/>
      <c r="J178" s="438"/>
      <c r="K178" s="438"/>
      <c r="M178" s="198"/>
      <c r="N178" s="326"/>
      <c r="Z178" s="866"/>
      <c r="AA178" s="866"/>
      <c r="AD178" s="866"/>
      <c r="AE178" s="866"/>
    </row>
    <row r="179" spans="1:52" x14ac:dyDescent="0.25">
      <c r="A179" s="319" t="s">
        <v>281</v>
      </c>
      <c r="B179" s="320"/>
      <c r="C179" s="320"/>
      <c r="D179" s="320"/>
      <c r="E179" s="320"/>
      <c r="F179" s="320"/>
      <c r="G179" s="459"/>
      <c r="H179" s="320"/>
      <c r="I179" s="320"/>
      <c r="J179" s="320"/>
      <c r="K179" s="320"/>
      <c r="Z179" s="866"/>
      <c r="AA179" s="866"/>
      <c r="AD179" s="866"/>
      <c r="AE179" s="866"/>
    </row>
    <row r="180" spans="1:52" x14ac:dyDescent="0.25">
      <c r="A180" s="319" t="s">
        <v>264</v>
      </c>
      <c r="B180" s="320"/>
      <c r="C180" s="320"/>
      <c r="D180" s="1564" t="s">
        <v>230</v>
      </c>
      <c r="E180" s="1564"/>
      <c r="F180" s="1564"/>
      <c r="G180" s="1564"/>
      <c r="H180" s="1564"/>
      <c r="I180" s="1564"/>
      <c r="J180" s="1564"/>
      <c r="K180" s="1564"/>
      <c r="P180" s="641"/>
      <c r="Z180" s="866"/>
      <c r="AA180" s="866"/>
      <c r="AD180" s="866"/>
      <c r="AE180" s="866"/>
    </row>
    <row r="181" spans="1:52" x14ac:dyDescent="0.25">
      <c r="A181" s="319"/>
      <c r="B181" s="320"/>
      <c r="C181" s="320"/>
      <c r="D181" s="750" t="s">
        <v>229</v>
      </c>
      <c r="E181" s="906"/>
      <c r="F181" s="905" t="s">
        <v>227</v>
      </c>
      <c r="G181" s="467" t="s">
        <v>228</v>
      </c>
      <c r="H181" s="467" t="s">
        <v>265</v>
      </c>
      <c r="I181" s="467" t="s">
        <v>280</v>
      </c>
      <c r="J181" s="467" t="s">
        <v>283</v>
      </c>
      <c r="K181" s="632" t="s">
        <v>4</v>
      </c>
      <c r="L181" s="212" t="s">
        <v>282</v>
      </c>
      <c r="M181" s="197"/>
      <c r="P181" s="641"/>
      <c r="Z181" s="866"/>
      <c r="AA181" s="866"/>
      <c r="AD181" s="866"/>
      <c r="AE181" s="866"/>
    </row>
    <row r="182" spans="1:52" ht="31.5" customHeight="1" x14ac:dyDescent="0.3">
      <c r="A182" s="1491"/>
      <c r="B182" s="1491"/>
      <c r="C182" s="1491"/>
      <c r="D182" s="753" t="s">
        <v>232</v>
      </c>
      <c r="E182" s="907"/>
      <c r="F182" s="681"/>
      <c r="G182" s="681"/>
      <c r="H182" s="682"/>
      <c r="I182" s="682"/>
      <c r="J182" s="682"/>
      <c r="K182" s="761">
        <f>SUM(F182:J182)</f>
        <v>0</v>
      </c>
      <c r="L182" s="216">
        <f>SUM(F182:I182)</f>
        <v>0</v>
      </c>
      <c r="M182" s="215">
        <f>IF(AND(L182&lt;25000,K182&gt;25000,J182&gt;L182),25000-L182,IF(AND(L182&lt;25000,J182&lt;25000),J182, 0))</f>
        <v>0</v>
      </c>
      <c r="P182" s="641"/>
      <c r="Z182" s="866"/>
      <c r="AA182" s="866"/>
      <c r="AD182" s="866"/>
      <c r="AE182" s="866"/>
    </row>
    <row r="183" spans="1:52" ht="31.5" customHeight="1" x14ac:dyDescent="0.25">
      <c r="A183" s="1491"/>
      <c r="B183" s="1491"/>
      <c r="C183" s="1491"/>
      <c r="D183" s="753" t="s">
        <v>233</v>
      </c>
      <c r="E183" s="909"/>
      <c r="F183" s="681"/>
      <c r="G183" s="681"/>
      <c r="H183" s="682"/>
      <c r="I183" s="682"/>
      <c r="J183" s="682"/>
      <c r="K183" s="761">
        <f>SUM(F183:J183)</f>
        <v>0</v>
      </c>
      <c r="L183" s="216">
        <f>SUM(F183:I183)</f>
        <v>0</v>
      </c>
      <c r="M183" s="215">
        <f>IF(AND(L183&lt;25000,K183&gt;25000,J183&gt;L183),25000-L183,IF(AND(L183&lt;25000,J183&lt;25000),J183, 0))</f>
        <v>0</v>
      </c>
      <c r="P183" s="641"/>
      <c r="Z183" s="866"/>
      <c r="AA183" s="866"/>
      <c r="AD183" s="866"/>
      <c r="AE183" s="866"/>
    </row>
    <row r="184" spans="1:52" ht="14.4" hidden="1" x14ac:dyDescent="0.3">
      <c r="A184" s="630"/>
      <c r="B184" s="450"/>
      <c r="C184" s="325"/>
      <c r="D184" s="325"/>
      <c r="E184" s="450"/>
      <c r="F184" s="450"/>
      <c r="G184" s="450"/>
      <c r="H184" s="325"/>
      <c r="I184" s="244"/>
      <c r="J184" s="325"/>
      <c r="K184" s="325"/>
      <c r="L184" s="23"/>
      <c r="M184" s="23"/>
      <c r="O184" s="641"/>
    </row>
    <row r="185" spans="1:52" hidden="1" x14ac:dyDescent="0.25">
      <c r="A185" s="539"/>
      <c r="B185" s="539"/>
      <c r="C185" s="539"/>
      <c r="D185" s="539"/>
      <c r="E185" s="539"/>
      <c r="F185" s="539"/>
      <c r="G185" s="539"/>
      <c r="H185" s="539"/>
      <c r="I185" s="539"/>
      <c r="J185" s="539"/>
      <c r="K185" s="684"/>
      <c r="L185" s="199"/>
      <c r="M185" s="199"/>
    </row>
    <row r="186" spans="1:52" hidden="1" x14ac:dyDescent="0.25">
      <c r="A186" s="539"/>
      <c r="B186" s="539"/>
      <c r="C186" s="539"/>
      <c r="D186" s="539"/>
      <c r="E186" s="561"/>
      <c r="F186" s="561"/>
      <c r="G186" s="561"/>
      <c r="H186" s="561"/>
      <c r="I186" s="561"/>
      <c r="J186" s="685" t="s">
        <v>71</v>
      </c>
      <c r="K186" s="684">
        <f>SUM(K140:K165)+SUM(K172:K173)+SUM(M182:M183)</f>
        <v>0</v>
      </c>
      <c r="L186" s="199"/>
      <c r="M186" s="199"/>
    </row>
    <row r="187" spans="1:52" s="13" customFormat="1" ht="14.4" thickBot="1" x14ac:dyDescent="0.3">
      <c r="A187" s="453"/>
      <c r="B187" s="453"/>
      <c r="C187" s="328"/>
      <c r="D187" s="328"/>
      <c r="E187" s="328"/>
      <c r="F187" s="328"/>
      <c r="G187" s="328"/>
      <c r="H187" s="328"/>
      <c r="I187" s="328"/>
      <c r="J187" s="328"/>
      <c r="K187" s="443"/>
      <c r="L187" s="90"/>
      <c r="M187" s="90"/>
      <c r="N187" s="326"/>
      <c r="O187" s="326"/>
      <c r="P187" s="326"/>
      <c r="Q187" s="326"/>
      <c r="R187" s="326"/>
      <c r="S187" s="326"/>
      <c r="T187" s="326"/>
      <c r="U187" s="326"/>
      <c r="V187" s="326"/>
      <c r="W187" s="326"/>
      <c r="X187" s="326"/>
      <c r="Y187" s="326"/>
      <c r="Z187" s="510"/>
      <c r="AA187" s="510"/>
      <c r="AB187" s="326"/>
      <c r="AC187" s="326"/>
      <c r="AD187" s="510"/>
      <c r="AE187" s="510"/>
      <c r="AF187" s="326"/>
      <c r="AG187" s="326"/>
      <c r="AH187" s="326"/>
      <c r="AI187" s="326"/>
      <c r="AJ187" s="326"/>
      <c r="AK187" s="326"/>
      <c r="AL187" s="326"/>
      <c r="AM187" s="326"/>
      <c r="AN187" s="326"/>
      <c r="AO187" s="326"/>
      <c r="AP187" s="326"/>
      <c r="AQ187" s="326"/>
      <c r="AR187" s="326"/>
      <c r="AS187" s="326"/>
      <c r="AT187" s="326"/>
      <c r="AU187" s="326"/>
      <c r="AV187" s="326"/>
      <c r="AW187" s="326"/>
      <c r="AX187" s="326"/>
      <c r="AY187" s="326"/>
      <c r="AZ187" s="326"/>
    </row>
    <row r="188" spans="1:52" ht="15" thickTop="1" thickBot="1" x14ac:dyDescent="0.3">
      <c r="A188" s="319" t="s">
        <v>377</v>
      </c>
      <c r="B188" s="319"/>
      <c r="C188" s="320"/>
      <c r="D188" s="320"/>
      <c r="E188" s="320"/>
      <c r="F188" s="320"/>
      <c r="G188" s="320"/>
      <c r="H188" s="321" t="s">
        <v>60</v>
      </c>
      <c r="I188" s="320"/>
      <c r="J188" s="320"/>
      <c r="K188" s="311" t="s">
        <v>273</v>
      </c>
      <c r="L188" s="23"/>
      <c r="M188" s="23"/>
      <c r="P188" s="642"/>
    </row>
    <row r="189" spans="1:52" ht="27.75" customHeight="1" thickTop="1" x14ac:dyDescent="0.25">
      <c r="A189" s="319" t="s">
        <v>231</v>
      </c>
      <c r="B189" s="319"/>
      <c r="C189" s="320"/>
      <c r="D189" s="320"/>
      <c r="E189" s="320"/>
      <c r="F189" s="320"/>
      <c r="G189" s="320"/>
      <c r="H189" s="320"/>
      <c r="I189" s="320"/>
      <c r="J189" s="320"/>
      <c r="K189" s="438"/>
      <c r="L189" s="90"/>
      <c r="M189" s="90"/>
      <c r="P189" s="642"/>
    </row>
    <row r="190" spans="1:52" x14ac:dyDescent="0.25">
      <c r="A190" s="461" t="s">
        <v>132</v>
      </c>
      <c r="B190" s="319"/>
      <c r="C190" s="320"/>
      <c r="D190" s="320"/>
      <c r="E190" s="320"/>
      <c r="F190" s="320"/>
      <c r="G190" s="320"/>
      <c r="H190" s="320"/>
      <c r="I190" s="320"/>
      <c r="J190" s="320"/>
      <c r="K190" s="320"/>
    </row>
    <row r="191" spans="1:52" ht="18" customHeight="1" x14ac:dyDescent="0.25">
      <c r="A191" s="462" t="s">
        <v>133</v>
      </c>
      <c r="B191" s="319"/>
      <c r="C191" s="320"/>
      <c r="D191" s="320"/>
      <c r="E191" s="320"/>
      <c r="F191" s="320"/>
      <c r="G191" s="320"/>
      <c r="H191" s="320"/>
      <c r="I191" s="320"/>
      <c r="J191" s="320"/>
      <c r="K191" s="320"/>
    </row>
    <row r="192" spans="1:52" ht="18" customHeight="1" x14ac:dyDescent="0.25">
      <c r="A192" s="463" t="s">
        <v>135</v>
      </c>
      <c r="B192" s="319"/>
      <c r="C192" s="320"/>
      <c r="D192" s="320"/>
      <c r="E192" s="320"/>
      <c r="F192" s="320"/>
      <c r="G192" s="320"/>
      <c r="H192" s="320"/>
      <c r="I192" s="320"/>
      <c r="J192" s="320"/>
      <c r="K192" s="320"/>
    </row>
    <row r="193" spans="1:13" ht="17.25" customHeight="1" thickBot="1" x14ac:dyDescent="0.3">
      <c r="A193" s="453"/>
      <c r="B193" s="453"/>
      <c r="C193" s="328"/>
      <c r="D193" s="328"/>
      <c r="E193" s="328"/>
      <c r="F193" s="328"/>
      <c r="G193" s="328"/>
      <c r="H193" s="328"/>
      <c r="I193" s="328"/>
      <c r="J193" s="328"/>
      <c r="K193" s="443"/>
      <c r="L193" s="90"/>
      <c r="M193" s="90"/>
    </row>
    <row r="194" spans="1:13" ht="15" thickTop="1" thickBot="1" x14ac:dyDescent="0.3">
      <c r="A194" s="319" t="s">
        <v>378</v>
      </c>
      <c r="B194" s="319"/>
      <c r="C194" s="320"/>
      <c r="D194" s="320"/>
      <c r="E194" s="459"/>
      <c r="F194" s="459"/>
      <c r="G194" s="321" t="s">
        <v>60</v>
      </c>
      <c r="H194" s="459"/>
      <c r="I194" s="320"/>
      <c r="J194" s="320"/>
      <c r="K194" s="311" t="s">
        <v>274</v>
      </c>
      <c r="L194" s="192"/>
      <c r="M194" s="192"/>
    </row>
    <row r="195" spans="1:13" ht="14.4" thickTop="1" x14ac:dyDescent="0.25">
      <c r="A195" s="464" t="s">
        <v>206</v>
      </c>
      <c r="B195" s="464"/>
      <c r="C195" s="459"/>
      <c r="D195" s="459"/>
      <c r="E195" s="459"/>
      <c r="F195" s="459"/>
      <c r="G195" s="459"/>
      <c r="H195" s="459"/>
      <c r="I195" s="459"/>
      <c r="J195" s="459"/>
      <c r="K195" s="311"/>
      <c r="L195" s="192"/>
      <c r="M195" s="192"/>
    </row>
    <row r="196" spans="1:13" ht="14.4" thickBot="1" x14ac:dyDescent="0.3">
      <c r="A196" s="465"/>
      <c r="B196" s="465"/>
      <c r="C196" s="465"/>
      <c r="D196" s="465"/>
      <c r="E196" s="465"/>
      <c r="F196" s="465"/>
      <c r="G196" s="465"/>
      <c r="H196" s="325"/>
      <c r="I196" s="325"/>
      <c r="J196" s="466"/>
      <c r="K196" s="466"/>
      <c r="L196" s="200"/>
      <c r="M196" s="200"/>
    </row>
    <row r="197" spans="1:13" ht="15" thickTop="1" thickBot="1" x14ac:dyDescent="0.3">
      <c r="A197" s="319" t="s">
        <v>379</v>
      </c>
      <c r="B197" s="320"/>
      <c r="C197" s="320"/>
      <c r="D197" s="320"/>
      <c r="E197" s="320"/>
      <c r="F197" s="320"/>
      <c r="G197" s="320"/>
      <c r="H197" s="320"/>
      <c r="I197" s="321" t="s">
        <v>60</v>
      </c>
      <c r="J197" s="320"/>
      <c r="K197" s="311" t="s">
        <v>275</v>
      </c>
      <c r="L197" s="23"/>
      <c r="M197" s="23"/>
    </row>
    <row r="198" spans="1:13" ht="15" thickTop="1" thickBot="1" x14ac:dyDescent="0.3">
      <c r="A198" s="319" t="s">
        <v>211</v>
      </c>
      <c r="B198" s="319"/>
      <c r="C198" s="320"/>
      <c r="D198" s="320"/>
      <c r="E198" s="320"/>
      <c r="F198" s="320"/>
      <c r="G198" s="320"/>
      <c r="H198" s="309"/>
      <c r="I198" s="320"/>
      <c r="J198" s="321" t="s">
        <v>59</v>
      </c>
      <c r="K198" s="320"/>
      <c r="L198" s="19"/>
      <c r="M198" s="19"/>
    </row>
    <row r="199" spans="1:13" ht="15" thickTop="1" thickBot="1" x14ac:dyDescent="0.3">
      <c r="A199" s="322" t="s">
        <v>446</v>
      </c>
      <c r="B199" s="323"/>
      <c r="C199" s="323"/>
      <c r="D199" s="323"/>
      <c r="E199" s="323"/>
      <c r="F199" s="323"/>
      <c r="G199" s="323"/>
      <c r="H199" s="323"/>
      <c r="I199" s="322"/>
      <c r="J199" s="320"/>
      <c r="K199" s="320"/>
      <c r="L199" s="23"/>
      <c r="M199" s="23"/>
    </row>
    <row r="200" spans="1:13" ht="14.4" hidden="1" thickBot="1" x14ac:dyDescent="0.3">
      <c r="A200" s="666"/>
      <c r="B200" s="666"/>
      <c r="C200" s="666"/>
      <c r="D200" s="666"/>
      <c r="E200" s="666"/>
      <c r="F200" s="666"/>
      <c r="G200" s="666"/>
      <c r="H200" s="666"/>
      <c r="I200" s="666"/>
      <c r="J200" s="668" t="s">
        <v>198</v>
      </c>
      <c r="K200" s="666"/>
      <c r="L200" s="23"/>
      <c r="M200" s="23"/>
    </row>
    <row r="201" spans="1:13" ht="14.4" hidden="1" thickBot="1" x14ac:dyDescent="0.3">
      <c r="A201" s="666"/>
      <c r="B201" s="666"/>
      <c r="C201" s="666"/>
      <c r="D201" s="666"/>
      <c r="E201" s="666"/>
      <c r="F201" s="666"/>
      <c r="G201" s="666"/>
      <c r="H201" s="666"/>
      <c r="I201" s="666"/>
      <c r="J201" s="669">
        <v>0.69499999999999995</v>
      </c>
      <c r="K201" s="666"/>
      <c r="L201" s="23"/>
      <c r="M201" s="23"/>
    </row>
    <row r="202" spans="1:13" ht="14.4" hidden="1" thickBot="1" x14ac:dyDescent="0.3">
      <c r="A202" s="666"/>
      <c r="B202" s="666"/>
      <c r="C202" s="666"/>
      <c r="D202" s="666"/>
      <c r="E202" s="666"/>
      <c r="F202" s="666"/>
      <c r="G202" s="666"/>
      <c r="H202" s="666"/>
      <c r="I202" s="666"/>
      <c r="J202" s="669">
        <v>0.34</v>
      </c>
      <c r="K202" s="666"/>
      <c r="L202" s="23"/>
      <c r="M202" s="23"/>
    </row>
    <row r="203" spans="1:13" ht="14.4" hidden="1" thickBot="1" x14ac:dyDescent="0.3">
      <c r="A203" s="666"/>
      <c r="B203" s="666"/>
      <c r="C203" s="666"/>
      <c r="D203" s="666"/>
      <c r="E203" s="666"/>
      <c r="F203" s="666"/>
      <c r="G203" s="666"/>
      <c r="H203" s="666"/>
      <c r="I203" s="666"/>
      <c r="J203" s="669">
        <v>0.41</v>
      </c>
      <c r="K203" s="666"/>
      <c r="L203" s="23"/>
      <c r="M203" s="23"/>
    </row>
    <row r="204" spans="1:13" ht="15" thickTop="1" thickBot="1" x14ac:dyDescent="0.3">
      <c r="A204" s="323"/>
      <c r="B204" s="323"/>
      <c r="C204" s="323"/>
      <c r="D204" s="323"/>
      <c r="E204" s="323"/>
      <c r="F204" s="323"/>
      <c r="G204" s="323"/>
      <c r="H204" s="323"/>
      <c r="I204" s="467" t="s">
        <v>203</v>
      </c>
      <c r="J204" s="468"/>
      <c r="K204" s="320"/>
      <c r="L204" s="23"/>
      <c r="M204" s="23"/>
    </row>
    <row r="205" spans="1:13" ht="15" hidden="1" thickTop="1" thickBot="1" x14ac:dyDescent="0.3">
      <c r="A205" s="666"/>
      <c r="B205" s="666"/>
      <c r="C205" s="666"/>
      <c r="D205" s="666"/>
      <c r="E205" s="666"/>
      <c r="F205" s="666"/>
      <c r="G205" s="666"/>
      <c r="H205" s="666"/>
      <c r="I205" s="666"/>
      <c r="J205" s="668" t="s">
        <v>205</v>
      </c>
      <c r="K205" s="666"/>
      <c r="L205" s="23"/>
      <c r="M205" s="23"/>
    </row>
    <row r="206" spans="1:13" ht="15" hidden="1" thickTop="1" thickBot="1" x14ac:dyDescent="0.3">
      <c r="A206" s="666"/>
      <c r="B206" s="666"/>
      <c r="C206" s="666"/>
      <c r="D206" s="666"/>
      <c r="E206" s="666"/>
      <c r="F206" s="666"/>
      <c r="G206" s="666"/>
      <c r="H206" s="666"/>
      <c r="I206" s="666"/>
      <c r="J206" s="669">
        <v>0.26</v>
      </c>
      <c r="K206" s="666"/>
      <c r="L206" s="23"/>
      <c r="M206" s="23"/>
    </row>
    <row r="207" spans="1:13" ht="15" hidden="1" thickTop="1" thickBot="1" x14ac:dyDescent="0.3">
      <c r="A207" s="666"/>
      <c r="B207" s="666"/>
      <c r="C207" s="666"/>
      <c r="D207" s="666"/>
      <c r="E207" s="666"/>
      <c r="F207" s="666"/>
      <c r="G207" s="666"/>
      <c r="H207" s="666"/>
      <c r="I207" s="666"/>
      <c r="J207" s="669">
        <v>0.34</v>
      </c>
      <c r="K207" s="666"/>
      <c r="L207" s="23"/>
      <c r="M207" s="23"/>
    </row>
    <row r="208" spans="1:13" ht="15" hidden="1" thickTop="1" thickBot="1" x14ac:dyDescent="0.3">
      <c r="A208" s="666"/>
      <c r="B208" s="666"/>
      <c r="C208" s="666"/>
      <c r="D208" s="666"/>
      <c r="E208" s="666"/>
      <c r="F208" s="666"/>
      <c r="G208" s="666"/>
      <c r="H208" s="666"/>
      <c r="I208" s="666"/>
      <c r="J208" s="669">
        <v>0.41</v>
      </c>
      <c r="K208" s="666"/>
      <c r="L208" s="23"/>
      <c r="M208" s="23"/>
    </row>
    <row r="209" spans="1:13" ht="20.25" customHeight="1" thickTop="1" thickBot="1" x14ac:dyDescent="0.3">
      <c r="A209" s="323"/>
      <c r="B209" s="323"/>
      <c r="C209" s="323"/>
      <c r="D209" s="323"/>
      <c r="E209" s="323"/>
      <c r="F209" s="323"/>
      <c r="G209" s="323"/>
      <c r="H209" s="323"/>
      <c r="I209" s="467" t="s">
        <v>204</v>
      </c>
      <c r="J209" s="324"/>
      <c r="K209" s="320"/>
      <c r="L209" s="23"/>
      <c r="M209" s="23"/>
    </row>
    <row r="210" spans="1:13" ht="14.4" thickTop="1" x14ac:dyDescent="0.25">
      <c r="A210" s="319" t="s">
        <v>207</v>
      </c>
      <c r="B210" s="320"/>
      <c r="C210" s="320"/>
      <c r="D210" s="320"/>
      <c r="E210" s="320"/>
      <c r="F210" s="320"/>
      <c r="G210" s="320"/>
      <c r="H210" s="320"/>
      <c r="I210" s="320"/>
      <c r="J210" s="320"/>
      <c r="K210" s="320"/>
      <c r="L210" s="23"/>
      <c r="M210" s="23"/>
    </row>
    <row r="211" spans="1:13" x14ac:dyDescent="0.25">
      <c r="A211" s="319" t="s">
        <v>208</v>
      </c>
      <c r="B211" s="320"/>
      <c r="C211" s="320"/>
      <c r="D211" s="320"/>
      <c r="E211" s="320"/>
      <c r="F211" s="320"/>
      <c r="G211" s="320"/>
      <c r="H211" s="320"/>
      <c r="I211" s="320"/>
      <c r="J211" s="320"/>
      <c r="K211" s="320"/>
      <c r="L211" s="23"/>
      <c r="M211" s="23"/>
    </row>
    <row r="212" spans="1:13" x14ac:dyDescent="0.25">
      <c r="A212" s="319" t="s">
        <v>209</v>
      </c>
      <c r="B212" s="320"/>
      <c r="C212" s="320"/>
      <c r="D212" s="320"/>
      <c r="E212" s="320"/>
      <c r="F212" s="320"/>
      <c r="G212" s="320"/>
      <c r="H212" s="320"/>
      <c r="I212" s="320"/>
      <c r="J212" s="320"/>
      <c r="K212" s="320"/>
      <c r="L212" s="23"/>
      <c r="M212" s="23"/>
    </row>
    <row r="213" spans="1:13" x14ac:dyDescent="0.25">
      <c r="A213" s="319" t="s">
        <v>210</v>
      </c>
      <c r="B213" s="320"/>
      <c r="C213" s="320"/>
      <c r="D213" s="320"/>
      <c r="E213" s="320"/>
      <c r="F213" s="320"/>
      <c r="G213" s="320"/>
      <c r="H213" s="320"/>
      <c r="I213" s="320"/>
      <c r="J213" s="320"/>
      <c r="K213" s="320"/>
      <c r="L213" s="23"/>
      <c r="M213" s="23"/>
    </row>
    <row r="214" spans="1:13" ht="5.25" customHeight="1" x14ac:dyDescent="0.25">
      <c r="A214" s="319"/>
      <c r="B214" s="320"/>
      <c r="C214" s="320"/>
      <c r="D214" s="320"/>
      <c r="E214" s="320"/>
      <c r="F214" s="320"/>
      <c r="G214" s="320"/>
      <c r="H214" s="320"/>
      <c r="I214" s="320"/>
      <c r="J214" s="320"/>
      <c r="K214" s="320"/>
      <c r="L214" s="23"/>
      <c r="M214" s="23"/>
    </row>
    <row r="215" spans="1:13" x14ac:dyDescent="0.25">
      <c r="A215" s="319" t="s">
        <v>225</v>
      </c>
      <c r="B215" s="320"/>
      <c r="C215" s="320"/>
      <c r="D215" s="320"/>
      <c r="E215" s="320"/>
      <c r="F215" s="320"/>
      <c r="G215" s="320"/>
      <c r="H215" s="320"/>
      <c r="I215" s="320"/>
      <c r="J215" s="320"/>
      <c r="K215" s="320"/>
      <c r="L215" s="23"/>
      <c r="M215" s="23"/>
    </row>
    <row r="216" spans="1:13" x14ac:dyDescent="0.25">
      <c r="A216" s="319" t="s">
        <v>176</v>
      </c>
      <c r="B216" s="320"/>
      <c r="C216" s="320"/>
      <c r="D216" s="320"/>
      <c r="E216" s="320"/>
      <c r="F216" s="320"/>
      <c r="G216" s="320"/>
      <c r="H216" s="320"/>
      <c r="I216" s="320"/>
      <c r="J216" s="320"/>
      <c r="K216" s="320"/>
      <c r="L216" s="23"/>
      <c r="M216" s="23"/>
    </row>
    <row r="217" spans="1:13" x14ac:dyDescent="0.25">
      <c r="A217" s="319" t="s">
        <v>214</v>
      </c>
      <c r="B217" s="320"/>
      <c r="C217" s="320"/>
      <c r="D217" s="320"/>
      <c r="E217" s="320"/>
      <c r="F217" s="320"/>
      <c r="G217" s="320"/>
      <c r="H217" s="320"/>
      <c r="I217" s="320"/>
      <c r="J217" s="320"/>
      <c r="K217" s="320"/>
      <c r="L217" s="23"/>
      <c r="M217" s="23"/>
    </row>
    <row r="218" spans="1:13" x14ac:dyDescent="0.25">
      <c r="A218" s="319" t="s">
        <v>177</v>
      </c>
      <c r="B218" s="320"/>
      <c r="C218" s="320"/>
      <c r="D218" s="320"/>
      <c r="E218" s="320"/>
      <c r="F218" s="320"/>
      <c r="G218" s="320"/>
      <c r="H218" s="320"/>
      <c r="I218" s="320"/>
      <c r="J218" s="320"/>
      <c r="K218" s="320"/>
      <c r="L218" s="23"/>
      <c r="M218" s="23"/>
    </row>
    <row r="219" spans="1:13" x14ac:dyDescent="0.25">
      <c r="A219" s="319" t="s">
        <v>215</v>
      </c>
      <c r="B219" s="320"/>
      <c r="C219" s="320"/>
      <c r="D219" s="320"/>
      <c r="E219" s="320"/>
      <c r="F219" s="320"/>
      <c r="G219" s="320"/>
      <c r="H219" s="320"/>
      <c r="I219" s="320"/>
      <c r="J219" s="320"/>
      <c r="K219" s="320"/>
      <c r="L219" s="23"/>
      <c r="M219" s="23"/>
    </row>
    <row r="220" spans="1:13" x14ac:dyDescent="0.25">
      <c r="A220" s="319" t="s">
        <v>189</v>
      </c>
      <c r="B220" s="320"/>
      <c r="C220" s="320"/>
      <c r="D220" s="320"/>
      <c r="E220" s="320"/>
      <c r="F220" s="320"/>
      <c r="G220" s="320"/>
      <c r="H220" s="320"/>
      <c r="I220" s="320"/>
      <c r="J220" s="320"/>
      <c r="K220" s="320"/>
      <c r="L220" s="23"/>
      <c r="M220" s="23"/>
    </row>
    <row r="221" spans="1:13" x14ac:dyDescent="0.25">
      <c r="A221" s="319" t="s">
        <v>216</v>
      </c>
      <c r="B221" s="320"/>
      <c r="C221" s="320"/>
      <c r="D221" s="320"/>
      <c r="E221" s="320"/>
      <c r="F221" s="320"/>
      <c r="G221" s="320"/>
      <c r="H221" s="320"/>
      <c r="I221" s="320"/>
      <c r="J221" s="320"/>
      <c r="K221" s="320"/>
      <c r="L221" s="23"/>
      <c r="M221" s="23"/>
    </row>
    <row r="222" spans="1:13" x14ac:dyDescent="0.25">
      <c r="A222" s="319" t="s">
        <v>217</v>
      </c>
      <c r="B222" s="320"/>
      <c r="C222" s="320"/>
      <c r="D222" s="320"/>
      <c r="E222" s="320"/>
      <c r="F222" s="320"/>
      <c r="G222" s="320"/>
      <c r="H222" s="320"/>
      <c r="I222" s="320"/>
      <c r="J222" s="320"/>
      <c r="K222" s="320"/>
      <c r="L222" s="23"/>
      <c r="M222" s="23"/>
    </row>
    <row r="223" spans="1:13" ht="14.1" customHeight="1" x14ac:dyDescent="0.25">
      <c r="A223" s="436"/>
      <c r="B223" s="627"/>
      <c r="C223" s="627"/>
      <c r="D223" s="627"/>
      <c r="E223" s="627"/>
      <c r="F223" s="627"/>
      <c r="G223" s="627"/>
      <c r="H223" s="627"/>
      <c r="I223" s="629"/>
      <c r="J223" s="629"/>
      <c r="K223" s="629"/>
      <c r="L223" s="189"/>
      <c r="M223" s="189"/>
    </row>
    <row r="224" spans="1:13" ht="26.1" customHeight="1" thickBot="1" x14ac:dyDescent="0.3">
      <c r="A224" s="626" t="s">
        <v>431</v>
      </c>
      <c r="B224" s="627"/>
      <c r="C224" s="627"/>
      <c r="D224" s="627"/>
      <c r="E224" s="627"/>
      <c r="F224" s="627"/>
      <c r="G224" s="627"/>
      <c r="H224" s="627"/>
      <c r="I224" s="629"/>
      <c r="J224" s="629"/>
      <c r="K224" s="629"/>
      <c r="L224" s="189"/>
      <c r="M224" s="189"/>
    </row>
    <row r="225" spans="1:52" ht="15" thickTop="1" thickBot="1" x14ac:dyDescent="0.3">
      <c r="A225" s="319" t="s">
        <v>438</v>
      </c>
      <c r="B225" s="319"/>
      <c r="C225" s="320"/>
      <c r="D225" s="320"/>
      <c r="E225" s="320"/>
      <c r="F225" s="320"/>
      <c r="G225" s="320"/>
      <c r="H225" s="320"/>
      <c r="I225" s="321" t="s">
        <v>59</v>
      </c>
      <c r="J225" s="320"/>
      <c r="K225" s="311" t="s">
        <v>444</v>
      </c>
      <c r="L225" s="190"/>
      <c r="M225" s="190"/>
    </row>
    <row r="226" spans="1:52" ht="15" thickTop="1" thickBot="1" x14ac:dyDescent="0.3">
      <c r="A226" s="319" t="s">
        <v>318</v>
      </c>
      <c r="B226" s="319"/>
      <c r="C226" s="320"/>
      <c r="D226" s="320"/>
      <c r="E226" s="320"/>
      <c r="F226" s="320"/>
      <c r="G226" s="320"/>
      <c r="H226" s="320"/>
      <c r="I226" s="320"/>
      <c r="J226" s="449"/>
      <c r="K226" s="320"/>
      <c r="L226" s="23"/>
      <c r="M226" s="23"/>
    </row>
    <row r="227" spans="1:52" s="56" customFormat="1" ht="15" thickTop="1" thickBot="1" x14ac:dyDescent="0.3">
      <c r="A227" s="450"/>
      <c r="B227" s="450"/>
      <c r="C227" s="325"/>
      <c r="D227" s="325"/>
      <c r="E227" s="325"/>
      <c r="F227" s="325"/>
      <c r="G227" s="325"/>
      <c r="H227" s="325"/>
      <c r="I227" s="325"/>
      <c r="J227" s="325"/>
      <c r="K227" s="451"/>
      <c r="L227" s="191"/>
      <c r="M227" s="191"/>
      <c r="N227" s="325"/>
      <c r="O227" s="325"/>
      <c r="P227" s="325"/>
      <c r="Q227" s="325"/>
      <c r="R227" s="325"/>
      <c r="S227" s="325"/>
      <c r="T227" s="325"/>
      <c r="U227" s="325"/>
      <c r="V227" s="325"/>
      <c r="W227" s="325"/>
      <c r="X227" s="325"/>
      <c r="Y227" s="325"/>
      <c r="Z227" s="511"/>
      <c r="AA227" s="511"/>
      <c r="AB227" s="325"/>
      <c r="AC227" s="325"/>
      <c r="AD227" s="511"/>
      <c r="AE227" s="511"/>
      <c r="AF227" s="325"/>
      <c r="AG227" s="325"/>
      <c r="AH227" s="325"/>
      <c r="AI227" s="325"/>
      <c r="AJ227" s="325"/>
      <c r="AK227" s="325"/>
      <c r="AL227" s="325"/>
      <c r="AM227" s="325"/>
      <c r="AN227" s="325"/>
      <c r="AO227" s="325"/>
      <c r="AP227" s="325"/>
      <c r="AQ227" s="325"/>
      <c r="AR227" s="325"/>
      <c r="AS227" s="325"/>
      <c r="AT227" s="325"/>
      <c r="AU227" s="325"/>
      <c r="AV227" s="325"/>
      <c r="AW227" s="325"/>
      <c r="AX227" s="325"/>
      <c r="AY227" s="325"/>
      <c r="AZ227" s="325"/>
    </row>
    <row r="228" spans="1:52" ht="16.5" customHeight="1" thickTop="1" thickBot="1" x14ac:dyDescent="0.3">
      <c r="A228" s="438" t="s">
        <v>381</v>
      </c>
      <c r="B228" s="438"/>
      <c r="C228" s="438"/>
      <c r="D228" s="438"/>
      <c r="E228" s="321" t="s">
        <v>60</v>
      </c>
      <c r="F228" s="438"/>
      <c r="G228" s="438"/>
      <c r="H228" s="438"/>
      <c r="I228" s="438"/>
      <c r="J228" s="438"/>
      <c r="K228" s="311" t="s">
        <v>114</v>
      </c>
      <c r="L228" s="192"/>
      <c r="M228" s="192"/>
    </row>
    <row r="229" spans="1:52" ht="15" thickTop="1" thickBot="1" x14ac:dyDescent="0.3">
      <c r="A229" s="319" t="s">
        <v>319</v>
      </c>
      <c r="B229" s="319"/>
      <c r="C229" s="320"/>
      <c r="D229" s="320"/>
      <c r="E229" s="320"/>
      <c r="F229" s="320"/>
      <c r="G229" s="320"/>
      <c r="H229" s="320"/>
      <c r="I229" s="320"/>
      <c r="J229" s="320"/>
      <c r="K229" s="320"/>
      <c r="L229" s="23"/>
      <c r="M229" s="23"/>
    </row>
    <row r="230" spans="1:52" ht="15" thickTop="1" thickBot="1" x14ac:dyDescent="0.3">
      <c r="A230" s="319"/>
      <c r="B230" s="319"/>
      <c r="C230" s="320"/>
      <c r="D230" s="320"/>
      <c r="E230" s="320"/>
      <c r="F230" s="320"/>
      <c r="G230" s="320"/>
      <c r="H230" s="320"/>
      <c r="I230" s="320"/>
      <c r="J230" s="320"/>
      <c r="K230" s="452"/>
      <c r="L230" s="191"/>
      <c r="M230" s="191"/>
    </row>
    <row r="231" spans="1:52" ht="15" thickTop="1" thickBot="1" x14ac:dyDescent="0.3">
      <c r="A231" s="319"/>
      <c r="B231" s="319"/>
      <c r="C231" s="320"/>
      <c r="D231" s="320"/>
      <c r="E231" s="320"/>
      <c r="F231" s="320"/>
      <c r="G231" s="320"/>
      <c r="H231" s="320"/>
      <c r="I231" s="320"/>
      <c r="J231" s="320"/>
      <c r="K231" s="452"/>
      <c r="L231" s="191"/>
      <c r="M231" s="191"/>
    </row>
    <row r="232" spans="1:52" ht="15" thickTop="1" thickBot="1" x14ac:dyDescent="0.3">
      <c r="A232" s="319"/>
      <c r="B232" s="319"/>
      <c r="C232" s="320"/>
      <c r="D232" s="320"/>
      <c r="E232" s="320"/>
      <c r="F232" s="320"/>
      <c r="G232" s="320"/>
      <c r="H232" s="320"/>
      <c r="I232" s="320"/>
      <c r="J232" s="320"/>
      <c r="K232" s="452"/>
      <c r="L232" s="191"/>
      <c r="M232" s="191"/>
    </row>
    <row r="233" spans="1:52" ht="14.4" thickTop="1" x14ac:dyDescent="0.25">
      <c r="A233" s="450"/>
      <c r="B233" s="450"/>
      <c r="C233" s="325"/>
      <c r="D233" s="325"/>
      <c r="E233" s="325"/>
      <c r="F233" s="325"/>
      <c r="G233" s="325"/>
      <c r="H233" s="325"/>
      <c r="I233" s="325"/>
      <c r="J233" s="325"/>
      <c r="K233" s="451"/>
      <c r="L233" s="191"/>
      <c r="M233" s="191"/>
    </row>
    <row r="234" spans="1:52" ht="24.9" customHeight="1" thickBot="1" x14ac:dyDescent="0.3">
      <c r="A234" s="626" t="s">
        <v>380</v>
      </c>
      <c r="B234" s="450"/>
      <c r="C234" s="325"/>
      <c r="D234" s="325"/>
      <c r="E234" s="325"/>
      <c r="F234" s="325"/>
      <c r="G234" s="325"/>
      <c r="H234" s="325"/>
      <c r="I234" s="325"/>
      <c r="J234" s="325"/>
      <c r="K234" s="451"/>
      <c r="L234" s="191"/>
      <c r="M234" s="191"/>
    </row>
    <row r="235" spans="1:52" ht="15" thickTop="1" thickBot="1" x14ac:dyDescent="0.3">
      <c r="A235" s="319" t="s">
        <v>384</v>
      </c>
      <c r="B235" s="319"/>
      <c r="C235" s="320"/>
      <c r="D235" s="320"/>
      <c r="E235" s="320"/>
      <c r="F235" s="320"/>
      <c r="G235" s="320"/>
      <c r="H235" s="309"/>
      <c r="I235" s="321" t="s">
        <v>59</v>
      </c>
      <c r="J235" s="320"/>
      <c r="K235" s="311" t="s">
        <v>52</v>
      </c>
      <c r="L235" s="23"/>
      <c r="M235" s="23"/>
    </row>
    <row r="236" spans="1:52" ht="15" hidden="1" thickTop="1" thickBot="1" x14ac:dyDescent="0.3">
      <c r="A236" s="665"/>
      <c r="B236" s="665"/>
      <c r="C236" s="666"/>
      <c r="D236" s="666"/>
      <c r="E236" s="666"/>
      <c r="F236" s="666"/>
      <c r="G236" s="666"/>
      <c r="H236" s="667"/>
      <c r="I236" s="666"/>
      <c r="J236" s="668" t="s">
        <v>56</v>
      </c>
      <c r="K236" s="666"/>
      <c r="L236" s="23"/>
      <c r="M236" s="23"/>
    </row>
    <row r="237" spans="1:52" ht="15" hidden="1" thickTop="1" thickBot="1" x14ac:dyDescent="0.3">
      <c r="A237" s="665"/>
      <c r="B237" s="665"/>
      <c r="C237" s="666"/>
      <c r="D237" s="666"/>
      <c r="E237" s="666"/>
      <c r="F237" s="666"/>
      <c r="G237" s="666"/>
      <c r="H237" s="667"/>
      <c r="I237" s="666"/>
      <c r="J237" s="669">
        <v>0</v>
      </c>
      <c r="K237" s="666"/>
      <c r="L237" s="23"/>
      <c r="M237" s="23"/>
    </row>
    <row r="238" spans="1:52" ht="15" hidden="1" thickTop="1" thickBot="1" x14ac:dyDescent="0.3">
      <c r="A238" s="665"/>
      <c r="B238" s="665"/>
      <c r="C238" s="666"/>
      <c r="D238" s="666"/>
      <c r="E238" s="666"/>
      <c r="F238" s="666"/>
      <c r="G238" s="666"/>
      <c r="H238" s="667"/>
      <c r="I238" s="666"/>
      <c r="J238" s="669">
        <v>0.08</v>
      </c>
      <c r="K238" s="666"/>
      <c r="L238" s="23"/>
      <c r="M238" s="23"/>
    </row>
    <row r="239" spans="1:52" ht="15" hidden="1" thickTop="1" thickBot="1" x14ac:dyDescent="0.3">
      <c r="A239" s="665"/>
      <c r="B239" s="665"/>
      <c r="C239" s="666"/>
      <c r="D239" s="666"/>
      <c r="E239" s="666"/>
      <c r="F239" s="666"/>
      <c r="G239" s="666"/>
      <c r="H239" s="667"/>
      <c r="I239" s="666"/>
      <c r="J239" s="669">
        <v>0.1</v>
      </c>
      <c r="K239" s="666"/>
      <c r="L239" s="23"/>
      <c r="M239" s="23"/>
    </row>
    <row r="240" spans="1:52" ht="15" hidden="1" thickTop="1" thickBot="1" x14ac:dyDescent="0.3">
      <c r="A240" s="665"/>
      <c r="B240" s="665"/>
      <c r="C240" s="666"/>
      <c r="D240" s="666"/>
      <c r="E240" s="666"/>
      <c r="F240" s="666"/>
      <c r="G240" s="666"/>
      <c r="H240" s="667"/>
      <c r="I240" s="666"/>
      <c r="J240" s="669">
        <v>0.15</v>
      </c>
      <c r="K240" s="666"/>
      <c r="L240" s="23"/>
      <c r="M240" s="23"/>
    </row>
    <row r="241" spans="1:13" ht="15" hidden="1" thickTop="1" thickBot="1" x14ac:dyDescent="0.3">
      <c r="A241" s="665"/>
      <c r="B241" s="665"/>
      <c r="C241" s="666"/>
      <c r="D241" s="666"/>
      <c r="E241" s="666"/>
      <c r="F241" s="666"/>
      <c r="G241" s="666"/>
      <c r="H241" s="667"/>
      <c r="I241" s="666"/>
      <c r="J241" s="669">
        <v>0.2</v>
      </c>
      <c r="K241" s="666"/>
      <c r="L241" s="23"/>
      <c r="M241" s="23"/>
    </row>
    <row r="242" spans="1:13" ht="15" hidden="1" thickTop="1" thickBot="1" x14ac:dyDescent="0.3">
      <c r="A242" s="665"/>
      <c r="B242" s="665"/>
      <c r="C242" s="666"/>
      <c r="D242" s="666"/>
      <c r="E242" s="666"/>
      <c r="F242" s="666"/>
      <c r="G242" s="666"/>
      <c r="H242" s="667"/>
      <c r="I242" s="666"/>
      <c r="J242" s="669">
        <v>0.25</v>
      </c>
      <c r="K242" s="666"/>
      <c r="L242" s="23"/>
      <c r="M242" s="23"/>
    </row>
    <row r="243" spans="1:13" ht="15" hidden="1" thickTop="1" thickBot="1" x14ac:dyDescent="0.3">
      <c r="A243" s="665"/>
      <c r="B243" s="665"/>
      <c r="C243" s="666"/>
      <c r="D243" s="666"/>
      <c r="E243" s="666"/>
      <c r="F243" s="666"/>
      <c r="G243" s="666"/>
      <c r="H243" s="667"/>
      <c r="I243" s="666"/>
      <c r="J243" s="669">
        <v>0.26</v>
      </c>
      <c r="K243" s="666"/>
      <c r="L243" s="23"/>
      <c r="M243" s="23"/>
    </row>
    <row r="244" spans="1:13" ht="15" hidden="1" thickTop="1" thickBot="1" x14ac:dyDescent="0.3">
      <c r="A244" s="665"/>
      <c r="B244" s="665"/>
      <c r="C244" s="666"/>
      <c r="D244" s="666"/>
      <c r="E244" s="666"/>
      <c r="F244" s="666"/>
      <c r="G244" s="666"/>
      <c r="H244" s="667"/>
      <c r="I244" s="666"/>
      <c r="J244" s="669">
        <v>0.3</v>
      </c>
      <c r="K244" s="666"/>
      <c r="L244" s="23"/>
      <c r="M244" s="23"/>
    </row>
    <row r="245" spans="1:13" ht="15" hidden="1" thickTop="1" thickBot="1" x14ac:dyDescent="0.3">
      <c r="A245" s="665"/>
      <c r="B245" s="665"/>
      <c r="C245" s="666"/>
      <c r="D245" s="666"/>
      <c r="E245" s="666"/>
      <c r="F245" s="666"/>
      <c r="G245" s="666"/>
      <c r="H245" s="667"/>
      <c r="I245" s="666"/>
      <c r="J245" s="669">
        <v>0.34</v>
      </c>
      <c r="K245" s="666"/>
      <c r="L245" s="23"/>
      <c r="M245" s="23"/>
    </row>
    <row r="246" spans="1:13" ht="15" hidden="1" thickTop="1" thickBot="1" x14ac:dyDescent="0.3">
      <c r="A246" s="665"/>
      <c r="B246" s="665"/>
      <c r="C246" s="666"/>
      <c r="D246" s="666"/>
      <c r="E246" s="666"/>
      <c r="F246" s="666"/>
      <c r="G246" s="666"/>
      <c r="H246" s="667"/>
      <c r="I246" s="666"/>
      <c r="J246" s="669">
        <v>0.35</v>
      </c>
      <c r="K246" s="666"/>
      <c r="L246" s="23"/>
      <c r="M246" s="23"/>
    </row>
    <row r="247" spans="1:13" ht="15" hidden="1" thickTop="1" thickBot="1" x14ac:dyDescent="0.3">
      <c r="A247" s="665"/>
      <c r="B247" s="665"/>
      <c r="C247" s="666"/>
      <c r="D247" s="666"/>
      <c r="E247" s="666"/>
      <c r="F247" s="666"/>
      <c r="G247" s="666"/>
      <c r="H247" s="667"/>
      <c r="I247" s="666"/>
      <c r="J247" s="669">
        <v>0.4</v>
      </c>
      <c r="K247" s="666"/>
      <c r="L247" s="23"/>
      <c r="M247" s="23"/>
    </row>
    <row r="248" spans="1:13" ht="15" hidden="1" thickTop="1" thickBot="1" x14ac:dyDescent="0.3">
      <c r="A248" s="665"/>
      <c r="B248" s="665"/>
      <c r="C248" s="666"/>
      <c r="D248" s="666"/>
      <c r="E248" s="666"/>
      <c r="F248" s="666"/>
      <c r="G248" s="666"/>
      <c r="H248" s="667"/>
      <c r="I248" s="666"/>
      <c r="J248" s="669">
        <v>0.41</v>
      </c>
      <c r="K248" s="666"/>
      <c r="L248" s="23"/>
      <c r="M248" s="23"/>
    </row>
    <row r="249" spans="1:13" ht="15" hidden="1" thickTop="1" thickBot="1" x14ac:dyDescent="0.3">
      <c r="A249" s="665"/>
      <c r="B249" s="665"/>
      <c r="C249" s="666"/>
      <c r="D249" s="666"/>
      <c r="E249" s="666"/>
      <c r="F249" s="666"/>
      <c r="G249" s="666"/>
      <c r="H249" s="667"/>
      <c r="I249" s="666"/>
      <c r="J249" s="670">
        <v>0.69499999999999995</v>
      </c>
      <c r="K249" s="666"/>
      <c r="L249" s="23"/>
      <c r="M249" s="23"/>
    </row>
    <row r="250" spans="1:13" ht="20.25" customHeight="1" thickTop="1" thickBot="1" x14ac:dyDescent="0.3">
      <c r="A250" s="322" t="s">
        <v>362</v>
      </c>
      <c r="B250" s="322"/>
      <c r="C250" s="322"/>
      <c r="D250" s="322"/>
      <c r="E250" s="322"/>
      <c r="F250" s="322"/>
      <c r="G250" s="322"/>
      <c r="H250" s="323"/>
      <c r="I250" s="322"/>
      <c r="J250" s="324"/>
      <c r="K250" s="320"/>
      <c r="L250" s="23"/>
      <c r="M250" s="23"/>
    </row>
    <row r="251" spans="1:13" ht="16.5" customHeight="1" thickTop="1" thickBot="1" x14ac:dyDescent="0.3">
      <c r="A251" s="436"/>
      <c r="B251" s="436"/>
      <c r="C251" s="436"/>
      <c r="D251" s="436"/>
      <c r="E251" s="436"/>
      <c r="F251" s="436"/>
      <c r="G251" s="436"/>
      <c r="H251" s="437"/>
      <c r="I251" s="436"/>
      <c r="J251" s="436"/>
      <c r="K251" s="325"/>
      <c r="L251" s="23"/>
      <c r="M251" s="23"/>
    </row>
    <row r="252" spans="1:13" ht="16.5" customHeight="1" thickTop="1" thickBot="1" x14ac:dyDescent="0.3">
      <c r="A252" s="438" t="s">
        <v>382</v>
      </c>
      <c r="B252" s="438"/>
      <c r="C252" s="438"/>
      <c r="D252" s="438"/>
      <c r="E252" s="321" t="s">
        <v>60</v>
      </c>
      <c r="F252" s="438"/>
      <c r="G252" s="438"/>
      <c r="H252" s="439"/>
      <c r="I252" s="438"/>
      <c r="J252" s="438"/>
      <c r="K252" s="311" t="s">
        <v>269</v>
      </c>
      <c r="L252" s="90"/>
      <c r="M252" s="90"/>
    </row>
    <row r="253" spans="1:13" ht="16.5" customHeight="1" thickTop="1" x14ac:dyDescent="0.25">
      <c r="A253" s="438" t="s">
        <v>213</v>
      </c>
      <c r="B253" s="438"/>
      <c r="C253" s="438"/>
      <c r="D253" s="438"/>
      <c r="E253" s="438"/>
      <c r="F253" s="438"/>
      <c r="G253" s="438"/>
      <c r="H253" s="439"/>
      <c r="I253" s="438"/>
      <c r="J253" s="438"/>
      <c r="K253" s="320"/>
      <c r="L253" s="23"/>
      <c r="M253" s="23"/>
    </row>
    <row r="254" spans="1:13" ht="16.5" customHeight="1" x14ac:dyDescent="0.25">
      <c r="A254" s="438" t="s">
        <v>439</v>
      </c>
      <c r="B254" s="438"/>
      <c r="C254" s="438"/>
      <c r="D254" s="438"/>
      <c r="E254" s="438"/>
      <c r="F254" s="438"/>
      <c r="G254" s="438"/>
      <c r="H254" s="439"/>
      <c r="I254" s="438"/>
      <c r="J254" s="438"/>
      <c r="K254" s="320"/>
      <c r="L254" s="23"/>
      <c r="M254" s="23"/>
    </row>
    <row r="255" spans="1:13" ht="16.5" customHeight="1" x14ac:dyDescent="0.25">
      <c r="A255" s="438" t="s">
        <v>440</v>
      </c>
      <c r="B255" s="438"/>
      <c r="C255" s="438"/>
      <c r="D255" s="438"/>
      <c r="E255" s="438"/>
      <c r="F255" s="438"/>
      <c r="G255" s="438"/>
      <c r="H255" s="439"/>
      <c r="I255" s="438"/>
      <c r="J255" s="438"/>
      <c r="K255" s="320"/>
      <c r="L255" s="23"/>
      <c r="M255" s="23"/>
    </row>
    <row r="256" spans="1:13" ht="16.5" customHeight="1" x14ac:dyDescent="0.25">
      <c r="A256" s="438" t="s">
        <v>153</v>
      </c>
      <c r="B256" s="438"/>
      <c r="C256" s="438"/>
      <c r="D256" s="438"/>
      <c r="E256" s="438"/>
      <c r="F256" s="438"/>
      <c r="G256" s="438"/>
      <c r="H256" s="439"/>
      <c r="I256" s="438"/>
      <c r="J256" s="438"/>
      <c r="K256" s="320"/>
      <c r="L256" s="23"/>
      <c r="M256" s="23"/>
    </row>
    <row r="257" spans="1:15" ht="16.5" customHeight="1" thickBot="1" x14ac:dyDescent="0.3">
      <c r="A257" s="436"/>
      <c r="B257" s="436"/>
      <c r="C257" s="436"/>
      <c r="D257" s="436"/>
      <c r="E257" s="436"/>
      <c r="F257" s="436"/>
      <c r="G257" s="436"/>
      <c r="H257" s="437"/>
      <c r="I257" s="436"/>
      <c r="J257" s="436"/>
      <c r="K257" s="325"/>
      <c r="L257" s="23"/>
      <c r="M257" s="23"/>
    </row>
    <row r="258" spans="1:15" ht="16.5" customHeight="1" thickTop="1" thickBot="1" x14ac:dyDescent="0.3">
      <c r="A258" s="438" t="s">
        <v>383</v>
      </c>
      <c r="B258" s="438"/>
      <c r="C258" s="438"/>
      <c r="D258" s="438"/>
      <c r="E258" s="438"/>
      <c r="F258" s="438"/>
      <c r="G258" s="321" t="s">
        <v>60</v>
      </c>
      <c r="H258" s="439"/>
      <c r="I258" s="438"/>
      <c r="J258" s="438"/>
      <c r="K258" s="440" t="s">
        <v>149</v>
      </c>
      <c r="L258" s="187"/>
      <c r="M258" s="187"/>
    </row>
    <row r="259" spans="1:15" ht="16.5" customHeight="1" thickTop="1" x14ac:dyDescent="0.25">
      <c r="A259" s="438" t="s">
        <v>437</v>
      </c>
      <c r="B259" s="438"/>
      <c r="C259" s="438"/>
      <c r="D259" s="438"/>
      <c r="E259" s="438"/>
      <c r="F259" s="438"/>
      <c r="G259" s="438"/>
      <c r="H259" s="439"/>
      <c r="I259" s="438"/>
      <c r="J259" s="438"/>
      <c r="K259" s="441" t="s">
        <v>150</v>
      </c>
      <c r="L259" s="187"/>
      <c r="M259" s="187"/>
    </row>
    <row r="260" spans="1:15" ht="16.5" customHeight="1" x14ac:dyDescent="0.25">
      <c r="A260" s="438" t="s">
        <v>146</v>
      </c>
      <c r="B260" s="438"/>
      <c r="C260" s="438"/>
      <c r="D260" s="438"/>
      <c r="E260" s="438"/>
      <c r="F260" s="438"/>
      <c r="G260" s="438"/>
      <c r="H260" s="439"/>
      <c r="I260" s="438"/>
      <c r="J260" s="438"/>
      <c r="K260" s="320"/>
      <c r="L260" s="23"/>
      <c r="M260" s="23"/>
    </row>
    <row r="261" spans="1:15" ht="16.5" customHeight="1" x14ac:dyDescent="0.25">
      <c r="A261" s="438" t="s">
        <v>435</v>
      </c>
      <c r="B261" s="438"/>
      <c r="C261" s="438"/>
      <c r="D261" s="438"/>
      <c r="E261" s="438"/>
      <c r="F261" s="438"/>
      <c r="G261" s="438"/>
      <c r="H261" s="439"/>
      <c r="I261" s="438"/>
      <c r="J261" s="438"/>
      <c r="K261" s="320"/>
      <c r="L261" s="23"/>
      <c r="M261" s="23"/>
    </row>
    <row r="262" spans="1:15" ht="16.5" customHeight="1" x14ac:dyDescent="0.25">
      <c r="A262" s="438" t="s">
        <v>436</v>
      </c>
      <c r="B262" s="438"/>
      <c r="C262" s="438"/>
      <c r="D262" s="438"/>
      <c r="E262" s="438"/>
      <c r="F262" s="438"/>
      <c r="G262" s="438"/>
      <c r="H262" s="439"/>
      <c r="I262" s="438"/>
      <c r="J262" s="438"/>
      <c r="K262" s="320"/>
      <c r="L262" s="23"/>
      <c r="M262" s="23"/>
    </row>
    <row r="263" spans="1:15" ht="18" x14ac:dyDescent="0.25">
      <c r="A263" s="446"/>
      <c r="B263" s="447"/>
      <c r="C263" s="447"/>
      <c r="D263" s="447"/>
      <c r="E263" s="447"/>
      <c r="F263" s="447"/>
      <c r="G263" s="447"/>
      <c r="H263" s="447"/>
      <c r="I263" s="447"/>
      <c r="J263" s="447"/>
      <c r="K263" s="447"/>
      <c r="L263" s="188"/>
      <c r="M263" s="188"/>
    </row>
    <row r="264" spans="1:15" x14ac:dyDescent="0.25">
      <c r="A264" s="860"/>
      <c r="B264" s="860"/>
      <c r="C264" s="861"/>
      <c r="D264" s="861"/>
      <c r="E264" s="861"/>
      <c r="F264" s="861"/>
      <c r="G264" s="861"/>
      <c r="H264" s="861"/>
      <c r="I264" s="861"/>
      <c r="J264" s="861"/>
      <c r="K264" s="861"/>
      <c r="L264" s="57"/>
      <c r="M264" s="57"/>
      <c r="N264" s="246"/>
      <c r="O264" s="246"/>
    </row>
    <row r="265" spans="1:15" ht="14.4" x14ac:dyDescent="0.25">
      <c r="A265" s="897" t="s">
        <v>445</v>
      </c>
      <c r="B265" s="883"/>
      <c r="C265" s="884"/>
      <c r="D265" s="884"/>
      <c r="E265" s="884"/>
      <c r="F265" s="884"/>
      <c r="G265" s="884"/>
      <c r="H265" s="884"/>
      <c r="I265" s="884"/>
      <c r="J265" s="884"/>
      <c r="K265" s="884"/>
      <c r="L265" s="57"/>
      <c r="M265" s="57"/>
      <c r="N265" s="246"/>
      <c r="O265" s="246"/>
    </row>
    <row r="266" spans="1:15" ht="14.4" thickBot="1" x14ac:dyDescent="0.3">
      <c r="A266" s="857"/>
      <c r="B266" s="858"/>
      <c r="C266" s="859"/>
      <c r="D266" s="859"/>
      <c r="E266" s="859"/>
      <c r="F266" s="859"/>
      <c r="G266" s="859"/>
      <c r="H266" s="859"/>
      <c r="I266" s="859"/>
      <c r="J266" s="859"/>
      <c r="K266" s="859"/>
      <c r="L266" s="57"/>
      <c r="M266" s="57"/>
      <c r="N266" s="246"/>
      <c r="O266" s="246"/>
    </row>
    <row r="267" spans="1:15" x14ac:dyDescent="0.25">
      <c r="A267" s="453"/>
      <c r="B267" s="328"/>
      <c r="C267" s="328"/>
      <c r="D267" s="328"/>
      <c r="E267" s="328"/>
      <c r="F267" s="328"/>
      <c r="G267" s="328"/>
      <c r="H267" s="328"/>
      <c r="I267" s="328"/>
      <c r="J267" s="328"/>
      <c r="K267" s="328"/>
      <c r="N267" s="326"/>
      <c r="O267" s="326"/>
    </row>
    <row r="268" spans="1:15" x14ac:dyDescent="0.25">
      <c r="A268" s="477"/>
      <c r="B268" s="405"/>
      <c r="C268" s="866"/>
      <c r="D268" s="866"/>
      <c r="E268" s="866"/>
      <c r="F268" s="866"/>
      <c r="G268" s="866"/>
      <c r="H268" s="866"/>
      <c r="I268" s="866"/>
      <c r="J268" s="866"/>
      <c r="K268" s="866"/>
      <c r="N268" s="326"/>
      <c r="O268" s="326"/>
    </row>
    <row r="269" spans="1:15" hidden="1" x14ac:dyDescent="0.25">
      <c r="A269" s="539"/>
      <c r="B269" s="539"/>
      <c r="C269" s="561"/>
      <c r="D269" s="561"/>
      <c r="E269" s="561"/>
      <c r="F269" s="561"/>
      <c r="G269" s="561"/>
      <c r="H269" s="561"/>
      <c r="I269" s="561"/>
      <c r="J269" s="561"/>
      <c r="K269" s="561"/>
      <c r="N269" s="326"/>
      <c r="O269" s="326"/>
    </row>
    <row r="270" spans="1:15" hidden="1" x14ac:dyDescent="0.25">
      <c r="A270" s="686"/>
      <c r="B270" s="687"/>
      <c r="C270" s="561"/>
      <c r="D270" s="688" t="s">
        <v>64</v>
      </c>
      <c r="E270" s="561"/>
      <c r="F270" s="561"/>
      <c r="G270" s="561"/>
      <c r="H270" s="561"/>
      <c r="I270" s="671"/>
      <c r="J270" s="561"/>
      <c r="K270" s="671"/>
      <c r="L270" s="201"/>
      <c r="M270" s="201"/>
      <c r="N270" s="326"/>
      <c r="O270" s="326"/>
    </row>
    <row r="271" spans="1:15" hidden="1" x14ac:dyDescent="0.25">
      <c r="A271" s="689"/>
      <c r="B271" s="690"/>
      <c r="C271" s="561"/>
      <c r="D271" s="691">
        <v>0</v>
      </c>
      <c r="E271" s="561"/>
      <c r="F271" s="561"/>
      <c r="G271" s="561"/>
      <c r="H271" s="561"/>
      <c r="I271" s="561"/>
      <c r="J271" s="561"/>
      <c r="K271" s="561"/>
      <c r="N271" s="326"/>
      <c r="O271" s="326"/>
    </row>
    <row r="272" spans="1:15" hidden="1" x14ac:dyDescent="0.25">
      <c r="A272" s="692"/>
      <c r="B272" s="693"/>
      <c r="C272" s="561"/>
      <c r="D272" s="694">
        <v>25000</v>
      </c>
      <c r="E272" s="561"/>
      <c r="F272" s="561"/>
      <c r="G272" s="561"/>
      <c r="H272" s="561"/>
      <c r="I272" s="561"/>
      <c r="J272" s="561"/>
      <c r="K272" s="561"/>
      <c r="N272" s="326"/>
      <c r="O272" s="326"/>
    </row>
    <row r="273" spans="1:31" hidden="1" x14ac:dyDescent="0.25">
      <c r="A273" s="561"/>
      <c r="B273" s="561"/>
      <c r="C273" s="561"/>
      <c r="D273" s="694">
        <v>50000</v>
      </c>
      <c r="E273" s="539"/>
      <c r="F273" s="539"/>
      <c r="G273" s="539"/>
      <c r="H273" s="561"/>
      <c r="I273" s="561"/>
      <c r="J273" s="561"/>
      <c r="K273" s="561"/>
      <c r="N273" s="326"/>
      <c r="O273" s="326"/>
    </row>
    <row r="274" spans="1:31" hidden="1" x14ac:dyDescent="0.25">
      <c r="A274" s="674" t="s">
        <v>63</v>
      </c>
      <c r="B274" s="561"/>
      <c r="C274" s="561"/>
      <c r="D274" s="694">
        <v>75000</v>
      </c>
      <c r="E274" s="539"/>
      <c r="F274" s="539"/>
      <c r="G274" s="539"/>
      <c r="H274" s="561"/>
      <c r="I274" s="561"/>
      <c r="J274" s="561"/>
      <c r="K274" s="561"/>
      <c r="N274" s="326"/>
      <c r="O274" s="326"/>
    </row>
    <row r="275" spans="1:31" hidden="1" x14ac:dyDescent="0.25">
      <c r="A275" s="676" t="s">
        <v>59</v>
      </c>
      <c r="B275" s="561"/>
      <c r="C275" s="561"/>
      <c r="D275" s="694">
        <v>100000</v>
      </c>
      <c r="E275" s="539"/>
      <c r="F275" s="539"/>
      <c r="G275" s="539"/>
      <c r="H275" s="561"/>
      <c r="I275" s="561"/>
      <c r="J275" s="561"/>
      <c r="K275" s="561"/>
      <c r="N275" s="326"/>
      <c r="O275" s="326"/>
    </row>
    <row r="276" spans="1:31" hidden="1" x14ac:dyDescent="0.25">
      <c r="A276" s="676" t="s">
        <v>60</v>
      </c>
      <c r="B276" s="561"/>
      <c r="C276" s="561"/>
      <c r="D276" s="694">
        <v>125000</v>
      </c>
      <c r="E276" s="539"/>
      <c r="F276" s="539"/>
      <c r="G276" s="539"/>
      <c r="H276" s="561"/>
      <c r="I276" s="561"/>
      <c r="J276" s="561"/>
      <c r="K276" s="561"/>
      <c r="N276" s="326"/>
      <c r="O276" s="326"/>
    </row>
    <row r="277" spans="1:31" hidden="1" x14ac:dyDescent="0.25">
      <c r="A277" s="561"/>
      <c r="B277" s="561"/>
      <c r="C277" s="561"/>
      <c r="D277" s="694">
        <v>150000</v>
      </c>
      <c r="E277" s="539"/>
      <c r="F277" s="539"/>
      <c r="G277" s="539"/>
      <c r="H277" s="561"/>
      <c r="I277" s="561"/>
      <c r="J277" s="561"/>
      <c r="K277" s="561"/>
      <c r="N277" s="326"/>
      <c r="O277" s="326"/>
    </row>
    <row r="278" spans="1:31" hidden="1" x14ac:dyDescent="0.25">
      <c r="A278" s="561"/>
      <c r="B278" s="561"/>
      <c r="C278" s="561"/>
      <c r="D278" s="694">
        <v>175000</v>
      </c>
      <c r="E278" s="539"/>
      <c r="F278" s="539"/>
      <c r="G278" s="539"/>
      <c r="H278" s="561"/>
      <c r="I278" s="561"/>
      <c r="J278" s="561"/>
      <c r="K278" s="561"/>
      <c r="N278" s="326"/>
      <c r="O278" s="326"/>
    </row>
    <row r="279" spans="1:31" hidden="1" x14ac:dyDescent="0.25">
      <c r="A279" s="561"/>
      <c r="B279" s="561"/>
      <c r="C279" s="561"/>
      <c r="D279" s="694">
        <v>200000</v>
      </c>
      <c r="E279" s="539"/>
      <c r="F279" s="539"/>
      <c r="G279" s="539"/>
      <c r="H279" s="561"/>
      <c r="I279" s="561"/>
      <c r="J279" s="561"/>
      <c r="K279" s="561"/>
      <c r="N279" s="326"/>
      <c r="O279" s="326"/>
    </row>
    <row r="280" spans="1:31" hidden="1" x14ac:dyDescent="0.25">
      <c r="A280" s="561"/>
      <c r="B280" s="561"/>
      <c r="C280" s="561"/>
      <c r="D280" s="694">
        <v>225000</v>
      </c>
      <c r="E280" s="539"/>
      <c r="F280" s="539"/>
      <c r="G280" s="539"/>
      <c r="H280" s="561"/>
      <c r="I280" s="561"/>
      <c r="J280" s="561"/>
      <c r="K280" s="561"/>
      <c r="N280" s="326"/>
      <c r="O280" s="326"/>
    </row>
    <row r="281" spans="1:31" hidden="1" x14ac:dyDescent="0.25">
      <c r="A281" s="561"/>
      <c r="B281" s="561"/>
      <c r="C281" s="561"/>
      <c r="D281" s="694">
        <v>250000</v>
      </c>
      <c r="E281" s="539"/>
      <c r="F281" s="539"/>
      <c r="G281" s="539"/>
      <c r="H281" s="561"/>
      <c r="I281" s="561"/>
      <c r="J281" s="561"/>
      <c r="K281" s="561"/>
      <c r="N281" s="326"/>
      <c r="O281" s="326"/>
    </row>
    <row r="282" spans="1:31" hidden="1" x14ac:dyDescent="0.25">
      <c r="A282" s="561"/>
      <c r="B282" s="561"/>
      <c r="C282" s="561"/>
      <c r="D282" s="539"/>
      <c r="E282" s="539"/>
      <c r="F282" s="539"/>
      <c r="G282" s="539"/>
      <c r="H282" s="561"/>
      <c r="I282" s="561"/>
      <c r="J282" s="561"/>
      <c r="K282" s="561"/>
      <c r="N282" s="326"/>
      <c r="O282" s="326"/>
    </row>
    <row r="283" spans="1:31" ht="15" hidden="1" thickTop="1" thickBot="1" x14ac:dyDescent="0.3">
      <c r="A283" s="1490" t="str">
        <f>SetUp!A4:B4</f>
        <v>1.  Is the source of the funding federal?</v>
      </c>
      <c r="B283" s="1490"/>
      <c r="C283" s="695" t="str">
        <f>SetUp!C4</f>
        <v>Yes</v>
      </c>
      <c r="D283" s="561"/>
      <c r="E283" s="561"/>
      <c r="F283" s="561"/>
      <c r="G283" s="561"/>
      <c r="H283" s="561"/>
      <c r="I283" s="561"/>
      <c r="J283" s="561"/>
      <c r="K283" s="561"/>
      <c r="Z283" s="866"/>
      <c r="AA283" s="866"/>
      <c r="AD283" s="866"/>
      <c r="AE283" s="866"/>
    </row>
    <row r="284" spans="1:31" hidden="1" x14ac:dyDescent="0.25">
      <c r="A284" s="539"/>
      <c r="B284" s="539"/>
      <c r="C284" s="561"/>
      <c r="D284" s="561"/>
      <c r="E284" s="561"/>
      <c r="F284" s="561"/>
      <c r="G284" s="561"/>
      <c r="H284" s="561"/>
      <c r="I284" s="561"/>
      <c r="J284" s="561"/>
      <c r="K284" s="561"/>
      <c r="Z284" s="866"/>
      <c r="AA284" s="866"/>
      <c r="AD284" s="866"/>
      <c r="AE284" s="866"/>
    </row>
    <row r="285" spans="1:31" ht="15" hidden="1" thickTop="1" thickBot="1" x14ac:dyDescent="0.3">
      <c r="A285" s="539" t="str">
        <f>'Y1'!A104</f>
        <v>1.  Is this a NIH modular budget?</v>
      </c>
      <c r="B285" s="539"/>
      <c r="C285" s="696" t="str">
        <f>'Y1'!L104</f>
        <v>No</v>
      </c>
      <c r="D285" s="561"/>
      <c r="E285" s="561"/>
      <c r="F285" s="561"/>
      <c r="G285" s="561"/>
      <c r="H285" s="561"/>
      <c r="I285" s="561"/>
      <c r="J285" s="561"/>
      <c r="K285" s="561"/>
      <c r="Z285" s="866"/>
      <c r="AA285" s="866"/>
      <c r="AD285" s="866"/>
      <c r="AE285" s="866"/>
    </row>
    <row r="286" spans="1:31" hidden="1" x14ac:dyDescent="0.25">
      <c r="A286" s="539" t="str">
        <f>'Y1'!A105</f>
        <v xml:space="preserve">       If Yes, please choose a module from the drop down menu in the "NIH Modular Amount" box. Also choosing Yes will allow the form to calculate F&amp;A on the modular amount.</v>
      </c>
      <c r="B286" s="539"/>
      <c r="C286" s="539"/>
      <c r="D286" s="539"/>
      <c r="E286" s="539"/>
      <c r="F286" s="539"/>
      <c r="G286" s="539"/>
      <c r="H286" s="539"/>
      <c r="I286" s="539"/>
      <c r="J286" s="539"/>
      <c r="K286" s="539"/>
    </row>
    <row r="287" spans="1:31" ht="15" x14ac:dyDescent="0.25">
      <c r="A287" s="479"/>
      <c r="B287" s="479"/>
      <c r="C287" s="480"/>
      <c r="D287" s="480"/>
      <c r="E287" s="480"/>
      <c r="F287" s="480"/>
      <c r="G287" s="480"/>
      <c r="H287" s="480"/>
      <c r="I287" s="866"/>
      <c r="J287" s="866"/>
      <c r="K287" s="866"/>
    </row>
    <row r="288" spans="1:31" x14ac:dyDescent="0.25">
      <c r="A288" s="403"/>
      <c r="B288" s="481"/>
      <c r="C288" s="480"/>
      <c r="D288" s="480"/>
      <c r="E288" s="480"/>
      <c r="F288" s="480"/>
      <c r="G288" s="482"/>
      <c r="H288" s="480"/>
      <c r="I288" s="866"/>
      <c r="J288" s="866"/>
      <c r="K288" s="866"/>
    </row>
    <row r="289" spans="1:11" x14ac:dyDescent="0.25">
      <c r="A289" s="403"/>
      <c r="B289" s="481"/>
      <c r="C289" s="480"/>
      <c r="D289" s="480"/>
      <c r="E289" s="480"/>
      <c r="F289" s="480"/>
      <c r="G289" s="481"/>
      <c r="H289" s="480"/>
      <c r="I289" s="866"/>
      <c r="J289" s="866"/>
      <c r="K289" s="866"/>
    </row>
    <row r="290" spans="1:11" x14ac:dyDescent="0.25">
      <c r="A290" s="403"/>
      <c r="B290" s="481"/>
      <c r="C290" s="480"/>
      <c r="D290" s="480"/>
      <c r="E290" s="480"/>
      <c r="F290" s="480"/>
      <c r="G290" s="482"/>
      <c r="H290" s="480"/>
      <c r="I290" s="866"/>
      <c r="J290" s="866"/>
      <c r="K290" s="866"/>
    </row>
    <row r="291" spans="1:11" x14ac:dyDescent="0.25">
      <c r="A291" s="481"/>
      <c r="B291" s="481"/>
      <c r="C291" s="480"/>
      <c r="D291" s="480"/>
      <c r="E291" s="480"/>
      <c r="F291" s="480"/>
      <c r="G291" s="483"/>
      <c r="H291" s="480"/>
      <c r="I291" s="866"/>
      <c r="J291" s="866"/>
      <c r="K291" s="866"/>
    </row>
    <row r="292" spans="1:11" x14ac:dyDescent="0.25">
      <c r="A292" s="403"/>
      <c r="B292" s="481"/>
      <c r="C292" s="480"/>
      <c r="D292" s="480"/>
      <c r="E292" s="480"/>
      <c r="F292" s="480"/>
      <c r="G292" s="480"/>
      <c r="H292" s="480"/>
      <c r="I292" s="866"/>
      <c r="J292" s="866"/>
      <c r="K292" s="866"/>
    </row>
    <row r="293" spans="1:11" x14ac:dyDescent="0.25">
      <c r="A293" s="403"/>
      <c r="B293" s="481"/>
      <c r="C293" s="480"/>
      <c r="D293" s="480"/>
      <c r="E293" s="480"/>
      <c r="F293" s="480"/>
      <c r="G293" s="482"/>
      <c r="H293" s="480"/>
      <c r="I293" s="866"/>
      <c r="J293" s="866"/>
      <c r="K293" s="866"/>
    </row>
    <row r="294" spans="1:11" x14ac:dyDescent="0.25">
      <c r="A294" s="403"/>
      <c r="B294" s="481"/>
      <c r="C294" s="480"/>
      <c r="D294" s="480"/>
      <c r="E294" s="480"/>
      <c r="F294" s="480"/>
      <c r="G294" s="481"/>
      <c r="H294" s="480"/>
      <c r="I294" s="866"/>
      <c r="J294" s="866"/>
      <c r="K294" s="866"/>
    </row>
    <row r="295" spans="1:11" x14ac:dyDescent="0.25">
      <c r="A295" s="403"/>
      <c r="B295" s="481"/>
      <c r="C295" s="480"/>
      <c r="D295" s="480"/>
      <c r="E295" s="480"/>
      <c r="F295" s="480"/>
      <c r="G295" s="482"/>
      <c r="H295" s="483"/>
      <c r="I295" s="866"/>
      <c r="J295" s="866"/>
      <c r="K295" s="866"/>
    </row>
    <row r="296" spans="1:11" x14ac:dyDescent="0.25">
      <c r="A296" s="481"/>
      <c r="B296" s="481"/>
      <c r="C296" s="480"/>
      <c r="D296" s="480"/>
      <c r="E296" s="480"/>
      <c r="F296" s="480"/>
      <c r="G296" s="483"/>
      <c r="H296" s="480"/>
      <c r="I296" s="866"/>
      <c r="J296" s="866"/>
      <c r="K296" s="866"/>
    </row>
    <row r="297" spans="1:11" x14ac:dyDescent="0.25">
      <c r="A297" s="403"/>
      <c r="B297" s="481"/>
      <c r="C297" s="480"/>
      <c r="D297" s="480"/>
      <c r="E297" s="480"/>
      <c r="F297" s="480"/>
      <c r="G297" s="480"/>
      <c r="H297" s="484"/>
      <c r="I297" s="866"/>
      <c r="J297" s="866"/>
      <c r="K297" s="866"/>
    </row>
    <row r="298" spans="1:11" x14ac:dyDescent="0.25">
      <c r="A298" s="485"/>
      <c r="B298" s="485"/>
      <c r="C298" s="480"/>
      <c r="D298" s="480"/>
      <c r="E298" s="480"/>
      <c r="F298" s="480"/>
      <c r="G298" s="480"/>
      <c r="H298" s="480"/>
      <c r="I298" s="866"/>
      <c r="J298" s="866"/>
      <c r="K298" s="866"/>
    </row>
    <row r="299" spans="1:11" x14ac:dyDescent="0.25">
      <c r="A299" s="403"/>
      <c r="B299" s="481"/>
      <c r="C299" s="480"/>
      <c r="D299" s="480"/>
      <c r="E299" s="480"/>
      <c r="F299" s="480"/>
      <c r="G299" s="480"/>
      <c r="H299" s="480"/>
      <c r="I299" s="866"/>
      <c r="J299" s="866"/>
      <c r="K299" s="866"/>
    </row>
    <row r="300" spans="1:11" x14ac:dyDescent="0.25">
      <c r="A300" s="481"/>
      <c r="B300" s="481"/>
      <c r="C300" s="480"/>
      <c r="D300" s="480"/>
      <c r="E300" s="480"/>
      <c r="F300" s="480"/>
      <c r="G300" s="480"/>
      <c r="H300" s="484"/>
      <c r="I300" s="866"/>
      <c r="J300" s="866"/>
      <c r="K300" s="866"/>
    </row>
    <row r="301" spans="1:11" x14ac:dyDescent="0.25">
      <c r="A301" s="486"/>
      <c r="B301" s="486"/>
      <c r="C301" s="480"/>
      <c r="D301" s="480"/>
      <c r="E301" s="480"/>
      <c r="F301" s="480"/>
      <c r="G301" s="480"/>
      <c r="H301" s="484"/>
      <c r="I301" s="866"/>
      <c r="J301" s="866"/>
      <c r="K301" s="866"/>
    </row>
    <row r="302" spans="1:11" x14ac:dyDescent="0.25">
      <c r="A302" s="405"/>
      <c r="B302" s="405"/>
      <c r="C302" s="866"/>
      <c r="D302" s="866"/>
      <c r="E302" s="866"/>
      <c r="F302" s="866"/>
      <c r="G302" s="866"/>
      <c r="H302" s="866"/>
      <c r="I302" s="866"/>
      <c r="J302" s="866"/>
      <c r="K302" s="866"/>
    </row>
    <row r="303" spans="1:11" x14ac:dyDescent="0.25">
      <c r="A303" s="405"/>
      <c r="B303" s="405"/>
      <c r="C303" s="866"/>
      <c r="D303" s="866"/>
      <c r="E303" s="866"/>
      <c r="F303" s="866"/>
      <c r="G303" s="866"/>
      <c r="H303" s="866"/>
      <c r="I303" s="866"/>
      <c r="J303" s="866"/>
      <c r="K303" s="866"/>
    </row>
    <row r="304" spans="1:11" x14ac:dyDescent="0.25">
      <c r="A304" s="405"/>
      <c r="B304" s="405"/>
      <c r="C304" s="866"/>
      <c r="D304" s="866"/>
      <c r="E304" s="866"/>
      <c r="F304" s="866"/>
      <c r="G304" s="866"/>
      <c r="H304" s="866"/>
      <c r="I304" s="866"/>
      <c r="J304" s="866"/>
      <c r="K304" s="866"/>
    </row>
    <row r="305" spans="1:11" x14ac:dyDescent="0.25">
      <c r="A305" s="405"/>
      <c r="B305" s="405"/>
      <c r="C305" s="866"/>
      <c r="D305" s="866"/>
      <c r="E305" s="866"/>
      <c r="F305" s="866"/>
      <c r="G305" s="866"/>
      <c r="H305" s="866"/>
      <c r="I305" s="866"/>
      <c r="J305" s="866"/>
      <c r="K305" s="866"/>
    </row>
    <row r="306" spans="1:11" x14ac:dyDescent="0.25">
      <c r="A306" s="405"/>
      <c r="B306" s="405"/>
      <c r="C306" s="866"/>
      <c r="D306" s="866"/>
      <c r="E306" s="866"/>
      <c r="F306" s="866"/>
      <c r="G306" s="866"/>
      <c r="H306" s="866"/>
      <c r="I306" s="866"/>
      <c r="J306" s="866"/>
      <c r="K306" s="866"/>
    </row>
    <row r="307" spans="1:11" x14ac:dyDescent="0.25">
      <c r="A307" s="405"/>
      <c r="B307" s="405"/>
      <c r="C307" s="866"/>
      <c r="D307" s="866"/>
      <c r="E307" s="866"/>
      <c r="F307" s="866"/>
      <c r="G307" s="866"/>
      <c r="H307" s="866"/>
      <c r="I307" s="866"/>
      <c r="J307" s="866"/>
      <c r="K307" s="866"/>
    </row>
  </sheetData>
  <sheetProtection password="EC4C" sheet="1" objects="1" scenarios="1" formatCells="0" formatColumns="0" formatRows="0" insertColumns="0" insertRows="0" insertHyperlinks="0" selectLockedCells="1"/>
  <mergeCells count="33">
    <mergeCell ref="N13:P13"/>
    <mergeCell ref="R13:W13"/>
    <mergeCell ref="O14:O18"/>
    <mergeCell ref="U14:U18"/>
    <mergeCell ref="V14:V18"/>
    <mergeCell ref="AG14:AH14"/>
    <mergeCell ref="AJ14:AK14"/>
    <mergeCell ref="AM14:AN14"/>
    <mergeCell ref="I15:K15"/>
    <mergeCell ref="R15:R18"/>
    <mergeCell ref="S15:S18"/>
    <mergeCell ref="T15:T18"/>
    <mergeCell ref="N16:N18"/>
    <mergeCell ref="Y14:AE15"/>
    <mergeCell ref="AM36:AO36"/>
    <mergeCell ref="Y56:Z56"/>
    <mergeCell ref="AC56:AE56"/>
    <mergeCell ref="D18:E18"/>
    <mergeCell ref="F18:G18"/>
    <mergeCell ref="AC19:AE19"/>
    <mergeCell ref="AG19:AH19"/>
    <mergeCell ref="AJ19:AK19"/>
    <mergeCell ref="AM19:AO19"/>
    <mergeCell ref="A283:B283"/>
    <mergeCell ref="Y36:AA36"/>
    <mergeCell ref="AC36:AE36"/>
    <mergeCell ref="AG36:AH36"/>
    <mergeCell ref="AJ36:AK36"/>
    <mergeCell ref="Y65:Z65"/>
    <mergeCell ref="AC65:AE65"/>
    <mergeCell ref="D180:K180"/>
    <mergeCell ref="A182:C182"/>
    <mergeCell ref="A183:C183"/>
  </mergeCells>
  <dataValidations count="16">
    <dataValidation type="list" allowBlank="1" showInputMessage="1" showErrorMessage="1" sqref="I94">
      <formula1>$J$206:$J$209</formula1>
    </dataValidation>
    <dataValidation type="list" allowBlank="1" showInputMessage="1" showErrorMessage="1" sqref="I90">
      <formula1>$J$201:$J$204</formula1>
    </dataValidation>
    <dataValidation type="list" allowBlank="1" showInputMessage="1" showErrorMessage="1" sqref="I102">
      <formula1>$J$237:$J$250</formula1>
    </dataValidation>
    <dataValidation type="whole" allowBlank="1" showInputMessage="1" showErrorMessage="1" sqref="G183">
      <formula1>0</formula1>
      <formula2>24999</formula2>
    </dataValidation>
    <dataValidation type="whole" operator="lessThanOrEqual" allowBlank="1" showInputMessage="1" showErrorMessage="1" sqref="F182">
      <formula1>25000</formula1>
    </dataValidation>
    <dataValidation type="whole" allowBlank="1" showInputMessage="1" showErrorMessage="1" sqref="F183">
      <formula1>0</formula1>
      <formula2>25000</formula2>
    </dataValidation>
    <dataValidation type="list" allowBlank="1" showInputMessage="1" showErrorMessage="1" sqref="K85:M85">
      <formula1>$D$271:$D$281</formula1>
    </dataValidation>
    <dataValidation type="list" allowBlank="1" showInputMessage="1" showErrorMessage="1" promptTitle="K award?" prompt="Answer &quot;No&quot; if this is a K award.  _x000a__x000a_Answer &quot;Yes&quot; if there is a K awardee on your budget where the funding source is federal.  Example: NIH R01 grant with a K awardee as a co-investigator." sqref="O20">
      <formula1>$A$275:$A$276</formula1>
    </dataValidation>
    <dataValidation type="list" allowBlank="1" showInputMessage="1" showErrorMessage="1" sqref="F123">
      <formula1>$F$117:$F$122</formula1>
    </dataValidation>
    <dataValidation allowBlank="1" showInputMessage="1" showErrorMessage="1" promptTitle="Confused?" prompt="Do not confuse the FRINGE BENEFIT RATE with the F&amp;A Rate.  This question is about fringe benefits." sqref="J226"/>
    <dataValidation type="list" allowBlank="1" showInputMessage="1" showErrorMessage="1" promptTitle="Not Sure?" prompt="Assume Yes unless otherwise specified in the agency's instructions." sqref="I225">
      <formula1>$A$275:$A$276</formula1>
    </dataValidation>
    <dataValidation type="list" allowBlank="1" showInputMessage="1" showErrorMessage="1" sqref="C168 O21:O27 G194 E125 E228 E113 E252 I235 G258 H188 R20:R27 I197 J198 L198:M198">
      <formula1>$A$275:$A$276</formula1>
    </dataValidation>
    <dataValidation type="list" allowBlank="1" showInputMessage="1" showErrorMessage="1" sqref="E138">
      <formula1>$J$140:$J$165</formula1>
    </dataValidation>
    <dataValidation type="list" allowBlank="1" showInputMessage="1" showErrorMessage="1" sqref="H116:H119">
      <formula1>Subwardsq</formula1>
    </dataValidation>
    <dataValidation type="list" allowBlank="1" showInputMessage="1" showErrorMessage="1" promptTitle="Still not sure?" prompt="PIs generally add new subawards in the Y1 budget tab and continue them in the future years. _x000a__x000a_If you're adding it for the 1st time in this budget year and its value is less than $25,000, answer Yes." sqref="E175">
      <formula1>$A$203:$A$204</formula1>
    </dataValidation>
    <dataValidation type="list" allowBlank="1" showInputMessage="1" showErrorMessage="1" prompt="If you've already included the subaward on your Y1 budget and its Y1 value is equal to or greater than 25K, answer No." sqref="C133">
      <formula1>$A$275:$A$276</formula1>
    </dataValidation>
  </dataValidations>
  <hyperlinks>
    <hyperlink ref="K125" r:id="rId1"/>
    <hyperlink ref="K258" r:id="rId2"/>
    <hyperlink ref="K259" r:id="rId3"/>
  </hyperlinks>
  <pageMargins left="0.25" right="0.25" top="0.25" bottom="0.25" header="0" footer="0"/>
  <pageSetup scale="43" orientation="portrait" horizontalDpi="1200" verticalDpi="1200"/>
  <headerFooter alignWithMargins="0"/>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107"/>
  <sheetViews>
    <sheetView zoomScale="75" zoomScaleNormal="75" zoomScalePageLayoutView="75" workbookViewId="0">
      <selection activeCell="O31" sqref="O31"/>
    </sheetView>
  </sheetViews>
  <sheetFormatPr defaultColWidth="8.88671875" defaultRowHeight="13.8" x14ac:dyDescent="0.25"/>
  <cols>
    <col min="1" max="1" width="46.6640625" style="8" customWidth="1"/>
    <col min="2" max="6" width="12.6640625" style="6" customWidth="1"/>
    <col min="7" max="7" width="17.33203125" style="6" customWidth="1"/>
    <col min="8" max="8" width="15" style="569" hidden="1" customWidth="1"/>
    <col min="9" max="9" width="8.33203125" style="569" hidden="1" customWidth="1"/>
    <col min="10" max="10" width="1.6640625" style="569" hidden="1" customWidth="1"/>
    <col min="11" max="11" width="13.88671875" style="545" hidden="1" customWidth="1"/>
    <col min="12" max="12" width="10.6640625" style="545" customWidth="1"/>
    <col min="13" max="13" width="1.44140625" style="545" customWidth="1"/>
    <col min="14" max="14" width="10.88671875" style="545" customWidth="1"/>
    <col min="15" max="15" width="11" style="545" bestFit="1" customWidth="1"/>
    <col min="16" max="16" width="1.6640625" style="545" customWidth="1"/>
    <col min="17" max="17" width="11.33203125" style="545" customWidth="1"/>
    <col min="18" max="20" width="8.44140625" style="545" customWidth="1"/>
    <col min="21" max="21" width="8.88671875" style="545"/>
    <col min="22" max="22" width="10.109375" style="545" bestFit="1" customWidth="1"/>
    <col min="23" max="24" width="8.88671875" style="545"/>
    <col min="25" max="25" width="11.33203125" style="545" bestFit="1" customWidth="1"/>
    <col min="26" max="26" width="8.88671875" style="545"/>
    <col min="27" max="16384" width="8.88671875" style="6"/>
  </cols>
  <sheetData>
    <row r="1" spans="1:26" x14ac:dyDescent="0.25">
      <c r="A1" s="521"/>
      <c r="B1" s="283" t="s">
        <v>58</v>
      </c>
      <c r="C1" s="819"/>
      <c r="D1" s="283"/>
      <c r="E1" s="283"/>
      <c r="F1" s="283"/>
      <c r="G1" s="283"/>
    </row>
    <row r="2" spans="1:26" x14ac:dyDescent="0.25">
      <c r="A2" s="522"/>
      <c r="B2" s="62"/>
      <c r="C2" s="556"/>
      <c r="D2" s="556"/>
      <c r="E2" s="579"/>
      <c r="F2" s="579"/>
      <c r="G2" s="579"/>
    </row>
    <row r="3" spans="1:26" s="867" customFormat="1" ht="15" customHeight="1" x14ac:dyDescent="0.25">
      <c r="A3" s="476" t="s">
        <v>37</v>
      </c>
      <c r="B3" s="221" t="str">
        <f>Sample_Y1!B8</f>
        <v>Ann B. Dextrous</v>
      </c>
      <c r="C3" s="326"/>
      <c r="D3" s="326"/>
      <c r="E3" s="916" t="s">
        <v>491</v>
      </c>
      <c r="F3" s="579"/>
      <c r="G3" s="1017" t="s">
        <v>512</v>
      </c>
      <c r="H3" s="262"/>
      <c r="I3" s="866"/>
      <c r="J3" s="866"/>
      <c r="K3" s="866"/>
      <c r="L3" s="866"/>
      <c r="M3" s="866"/>
      <c r="N3" s="866"/>
      <c r="O3" s="866"/>
      <c r="P3" s="866"/>
      <c r="Q3" s="866"/>
      <c r="R3" s="866"/>
      <c r="S3" s="866"/>
      <c r="T3" s="866"/>
      <c r="U3" s="866"/>
      <c r="V3" s="866"/>
      <c r="W3" s="866"/>
      <c r="X3" s="866"/>
      <c r="Y3" s="866"/>
      <c r="Z3" s="866"/>
    </row>
    <row r="4" spans="1:26" s="867" customFormat="1" x14ac:dyDescent="0.25">
      <c r="A4" s="476" t="s">
        <v>38</v>
      </c>
      <c r="B4" s="221" t="str">
        <f>Sample_Y1!B9</f>
        <v>NIGMS</v>
      </c>
      <c r="C4" s="326"/>
      <c r="D4" s="866"/>
      <c r="E4" s="246"/>
      <c r="F4" s="579"/>
      <c r="G4" s="579"/>
      <c r="H4" s="262"/>
      <c r="I4" s="866"/>
      <c r="J4" s="866"/>
      <c r="K4" s="527"/>
      <c r="L4" s="527"/>
      <c r="M4" s="527"/>
      <c r="N4" s="866"/>
      <c r="O4" s="866"/>
      <c r="P4" s="866"/>
      <c r="Q4" s="866"/>
      <c r="R4" s="866"/>
      <c r="S4" s="866"/>
      <c r="T4" s="866"/>
      <c r="U4" s="866"/>
      <c r="V4" s="866"/>
      <c r="W4" s="866"/>
      <c r="X4" s="866"/>
      <c r="Y4" s="866"/>
      <c r="Z4" s="866"/>
    </row>
    <row r="5" spans="1:26" s="904" customFormat="1" ht="15" customHeight="1" x14ac:dyDescent="0.25">
      <c r="A5" s="476" t="s">
        <v>39</v>
      </c>
      <c r="B5" s="221" t="str">
        <f>Sample_Y1!B10</f>
        <v>Do righties or lefties make better jugglers?</v>
      </c>
      <c r="C5" s="555"/>
      <c r="D5" s="912"/>
      <c r="E5" s="275"/>
      <c r="F5" s="579"/>
      <c r="G5" s="579"/>
      <c r="H5" s="236"/>
      <c r="I5" s="912"/>
      <c r="J5" s="912"/>
      <c r="K5" s="912"/>
      <c r="L5" s="912"/>
      <c r="M5" s="912"/>
      <c r="N5" s="912"/>
      <c r="O5" s="912"/>
      <c r="P5" s="912"/>
      <c r="Q5" s="912"/>
      <c r="R5" s="912"/>
      <c r="S5" s="912"/>
      <c r="T5" s="912"/>
      <c r="U5" s="912"/>
      <c r="V5" s="912"/>
      <c r="W5" s="912"/>
      <c r="X5" s="912"/>
      <c r="Y5" s="912"/>
      <c r="Z5" s="912"/>
    </row>
    <row r="6" spans="1:26" s="904" customFormat="1" ht="15" customHeight="1" x14ac:dyDescent="0.25">
      <c r="A6" s="523" t="s">
        <v>46</v>
      </c>
      <c r="B6" s="590" t="s">
        <v>489</v>
      </c>
      <c r="C6" s="555"/>
      <c r="D6" s="555"/>
      <c r="E6" s="275"/>
      <c r="F6" s="579"/>
      <c r="G6" s="579"/>
      <c r="H6" s="236"/>
      <c r="I6" s="912"/>
      <c r="J6" s="912"/>
      <c r="K6" s="912"/>
      <c r="L6" s="912"/>
      <c r="M6" s="912"/>
      <c r="N6" s="912"/>
      <c r="O6" s="912"/>
      <c r="P6" s="912"/>
      <c r="Q6" s="912"/>
      <c r="R6" s="912"/>
      <c r="S6" s="912"/>
      <c r="T6" s="912"/>
      <c r="U6" s="912"/>
      <c r="V6" s="912"/>
      <c r="W6" s="912"/>
      <c r="X6" s="912"/>
      <c r="Y6" s="912"/>
      <c r="Z6" s="912"/>
    </row>
    <row r="7" spans="1:26" s="904" customFormat="1" x14ac:dyDescent="0.25">
      <c r="A7" s="524" t="s">
        <v>41</v>
      </c>
      <c r="B7" s="221" t="str">
        <f>IF(Sample_Y1!B12= "0", " ", " ")</f>
        <v xml:space="preserve"> </v>
      </c>
      <c r="C7" s="555"/>
      <c r="D7" s="555"/>
      <c r="E7" s="275"/>
      <c r="F7" s="579"/>
      <c r="G7" s="579"/>
      <c r="H7" s="555"/>
      <c r="I7" s="555"/>
      <c r="J7" s="555"/>
      <c r="K7" s="912"/>
      <c r="L7" s="912"/>
      <c r="M7" s="912"/>
      <c r="N7" s="912"/>
      <c r="O7" s="912"/>
      <c r="P7" s="912"/>
      <c r="Q7" s="912"/>
      <c r="R7" s="912"/>
      <c r="S7" s="912"/>
      <c r="T7" s="912"/>
      <c r="U7" s="912"/>
      <c r="V7" s="912"/>
      <c r="W7" s="912"/>
      <c r="X7" s="912"/>
      <c r="Y7" s="912"/>
      <c r="Z7" s="912"/>
    </row>
    <row r="8" spans="1:26" s="904" customFormat="1" x14ac:dyDescent="0.25">
      <c r="A8" s="524" t="s">
        <v>42</v>
      </c>
      <c r="B8" s="221" t="str">
        <f>IF(Sample_Y1!B13= "0", " ", " ")</f>
        <v xml:space="preserve"> </v>
      </c>
      <c r="C8" s="555"/>
      <c r="D8" s="555"/>
      <c r="E8" s="555"/>
      <c r="F8" s="555"/>
      <c r="G8" s="555"/>
      <c r="H8" s="555"/>
      <c r="I8" s="555"/>
      <c r="J8" s="555"/>
      <c r="K8" s="912"/>
      <c r="L8" s="912"/>
      <c r="M8" s="912"/>
      <c r="N8" s="912"/>
      <c r="O8" s="912"/>
      <c r="P8" s="912"/>
      <c r="Q8" s="912"/>
      <c r="R8" s="912"/>
      <c r="S8" s="912"/>
      <c r="T8" s="912"/>
      <c r="U8" s="912"/>
      <c r="V8" s="912"/>
      <c r="W8" s="912"/>
      <c r="X8" s="912"/>
      <c r="Y8" s="912"/>
      <c r="Z8" s="912"/>
    </row>
    <row r="9" spans="1:26" s="904" customFormat="1" x14ac:dyDescent="0.25">
      <c r="A9" s="525" t="s">
        <v>43</v>
      </c>
      <c r="B9" s="222" t="str">
        <f>IF(Sample_Y1!B14= "0", " ", " ")</f>
        <v xml:space="preserve"> </v>
      </c>
      <c r="C9" s="570"/>
      <c r="D9" s="591"/>
      <c r="E9" s="570"/>
      <c r="F9" s="570"/>
      <c r="G9" s="570"/>
      <c r="H9" s="570"/>
      <c r="I9" s="570"/>
      <c r="J9" s="275"/>
      <c r="K9" s="912"/>
      <c r="L9" s="912"/>
      <c r="M9" s="912"/>
      <c r="N9" s="912"/>
      <c r="O9" s="912"/>
      <c r="P9" s="912"/>
      <c r="Q9" s="912"/>
      <c r="R9" s="912"/>
      <c r="S9" s="912"/>
      <c r="T9" s="912"/>
      <c r="U9" s="912"/>
      <c r="V9" s="912"/>
      <c r="W9" s="912"/>
      <c r="X9" s="912"/>
      <c r="Y9" s="912"/>
      <c r="Z9" s="912"/>
    </row>
    <row r="10" spans="1:26" s="904" customFormat="1" x14ac:dyDescent="0.25">
      <c r="A10" s="912"/>
      <c r="C10" s="61"/>
      <c r="D10" s="61"/>
      <c r="E10" s="61"/>
      <c r="F10" s="61"/>
      <c r="G10" s="61"/>
      <c r="H10" s="912"/>
      <c r="I10" s="912"/>
      <c r="J10" s="912"/>
      <c r="K10" s="912"/>
      <c r="L10" s="912"/>
      <c r="M10" s="912"/>
      <c r="N10" s="912"/>
      <c r="O10" s="912"/>
      <c r="P10" s="912"/>
      <c r="Q10" s="912"/>
      <c r="R10" s="912"/>
      <c r="S10" s="912"/>
      <c r="T10" s="912"/>
      <c r="U10" s="912"/>
      <c r="V10" s="912"/>
      <c r="W10" s="912"/>
      <c r="X10" s="912"/>
      <c r="Y10" s="912"/>
      <c r="Z10" s="912"/>
    </row>
    <row r="11" spans="1:26" x14ac:dyDescent="0.25">
      <c r="A11" s="526"/>
      <c r="B11" s="818" t="s">
        <v>0</v>
      </c>
      <c r="C11" s="818" t="s">
        <v>1</v>
      </c>
      <c r="D11" s="818" t="s">
        <v>2</v>
      </c>
      <c r="E11" s="818" t="s">
        <v>3</v>
      </c>
      <c r="F11" s="818" t="s">
        <v>11</v>
      </c>
      <c r="G11" s="818" t="s">
        <v>17</v>
      </c>
      <c r="H11" s="571"/>
      <c r="K11" s="572"/>
      <c r="L11" s="572"/>
      <c r="M11" s="572"/>
      <c r="N11" s="571"/>
      <c r="O11" s="571"/>
      <c r="P11" s="571"/>
      <c r="Q11" s="571"/>
      <c r="R11" s="571"/>
      <c r="S11" s="571"/>
      <c r="T11" s="571"/>
    </row>
    <row r="12" spans="1:26" x14ac:dyDescent="0.25">
      <c r="A12" s="527"/>
      <c r="B12" s="12"/>
      <c r="C12" s="12"/>
      <c r="D12" s="12"/>
      <c r="E12" s="12"/>
      <c r="F12" s="12"/>
      <c r="G12" s="12"/>
      <c r="H12" s="571"/>
      <c r="K12" s="572"/>
      <c r="L12" s="572"/>
      <c r="M12" s="572"/>
      <c r="N12" s="571"/>
      <c r="O12" s="571"/>
      <c r="P12" s="571"/>
      <c r="Q12" s="571"/>
      <c r="R12" s="571"/>
      <c r="S12" s="571"/>
      <c r="T12" s="571"/>
    </row>
    <row r="13" spans="1:26" x14ac:dyDescent="0.25">
      <c r="A13" s="526" t="s">
        <v>28</v>
      </c>
      <c r="B13" s="55"/>
      <c r="C13" s="55"/>
      <c r="D13" s="55"/>
      <c r="E13" s="55"/>
      <c r="F13" s="55"/>
      <c r="G13" s="55"/>
      <c r="H13" s="571"/>
      <c r="L13" s="572"/>
      <c r="M13" s="572"/>
      <c r="N13" s="571"/>
      <c r="O13" s="571"/>
      <c r="P13" s="571"/>
      <c r="Q13" s="571"/>
      <c r="R13" s="571"/>
      <c r="S13" s="571"/>
      <c r="T13" s="571"/>
    </row>
    <row r="14" spans="1:26" x14ac:dyDescent="0.25">
      <c r="A14" s="528" t="s">
        <v>31</v>
      </c>
      <c r="B14" s="951">
        <f>Sample_Y1!K29</f>
        <v>73280</v>
      </c>
      <c r="C14" s="951">
        <f>IF(AND($B$56&gt;1,$E$58="Yes"),$B$14,IF(AND($B$56&gt;1, $E$58="No"),Sample_Y2!$K$29,IF(AND($B$56&gt;1, $E$58="Yes, except for equipment in Year 1."), $B$14, " ")))</f>
        <v>73280</v>
      </c>
      <c r="D14" s="951">
        <f>IF(AND($B$56&gt;2,$E$58="Yes"),$B$14,IF(AND($B$56&gt;2, $E$58="No"),Sample_Y3!$K$29,IF(AND($B$56&gt;2, $E$58="Yes, except for equipment in Year 1."), $B$14, " ")))</f>
        <v>73280</v>
      </c>
      <c r="E14" s="951">
        <f>IF(AND($B$56&gt;3,$E$58="Yes"),$B$14,IF(AND($B$56&gt;3, $E$58="No"),Sample_Y4!$K$29,IF(AND($B$56&gt;3, $E$58="Yes, except for equipment in Year 1."), $B$14, " ")))</f>
        <v>73280</v>
      </c>
      <c r="F14" s="951">
        <f>IF(AND($B$56&gt;4,$E$58="Yes"),$B$14,IF(AND($B$56&gt;4, $E$58="No"),Sample_Y5!$K$29,IF(AND($B$56&gt;4, $E$58="Yes, except for equipment in Year 1."), $B$14, " ")))</f>
        <v>73280</v>
      </c>
      <c r="G14" s="951">
        <f t="shared" ref="G14:G23" si="0">SUM(B14:F14)</f>
        <v>366400</v>
      </c>
      <c r="H14" s="571" t="s">
        <v>399</v>
      </c>
      <c r="L14" s="572"/>
      <c r="M14" s="572"/>
      <c r="N14" s="571"/>
      <c r="O14" s="571"/>
      <c r="P14" s="571"/>
      <c r="Q14" s="571"/>
      <c r="R14" s="571"/>
      <c r="S14" s="571"/>
      <c r="T14" s="571"/>
    </row>
    <row r="15" spans="1:26" x14ac:dyDescent="0.25">
      <c r="A15" s="528" t="s">
        <v>290</v>
      </c>
      <c r="B15" s="951">
        <f>Sample_Y1!K34</f>
        <v>11000</v>
      </c>
      <c r="C15" s="951">
        <f>IF(AND($B$56&gt;1,$E$58="Yes"),$B$15,IF(AND($B$56&gt;1, $E$58="No"),Sample_Y2!$K$34,IF(AND($B$56&gt;1, $E$58="Yes, except for equipment in Year 1."), 0, " ")))</f>
        <v>0</v>
      </c>
      <c r="D15" s="951">
        <f>IF(AND($B$56&gt;2,$E$58="Yes"),$B$15,IF(AND($B$56&gt;2, $E$58="No"),Sample_Y3!$K$34,IF(AND($B$56&gt;2, $E$58="Yes, except for equipment in Year 1."), 0, " ")))</f>
        <v>0</v>
      </c>
      <c r="E15" s="951">
        <f>IF(AND($B$56&gt;3,$E$58="Yes"),$B$15,IF(AND($B$56&gt;3, $E$58="No"),Sample_Y4!$K$34,IF(AND($B$56&gt;3, $E$58="Yes, except for equipment in Year 1."), 0, " ")))</f>
        <v>0</v>
      </c>
      <c r="F15" s="951">
        <f>IF(AND($B$56&gt;4,$E$58="Yes"),$B$15,IF(AND($B$56&gt;4, $E$58="No"),Sample_Y5!$K$34,IF(AND($B$56&gt;4, $E$58="Yes, except for equipment in Year 1."), 0, " ")))</f>
        <v>0</v>
      </c>
      <c r="G15" s="951">
        <f t="shared" si="0"/>
        <v>11000</v>
      </c>
      <c r="H15" s="571" t="s">
        <v>400</v>
      </c>
      <c r="K15" s="572"/>
      <c r="L15" s="572"/>
      <c r="M15" s="572"/>
      <c r="N15" s="571"/>
      <c r="O15" s="571"/>
      <c r="P15" s="571"/>
      <c r="Q15" s="571"/>
      <c r="R15" s="571"/>
      <c r="S15" s="571"/>
      <c r="T15" s="571"/>
    </row>
    <row r="16" spans="1:26" x14ac:dyDescent="0.25">
      <c r="A16" s="528" t="s">
        <v>32</v>
      </c>
      <c r="B16" s="951">
        <f>Sample_Y1!K39</f>
        <v>2600</v>
      </c>
      <c r="C16" s="951">
        <f>IF(AND($B$56&gt;1,$E$58="Yes"),$B$16,IF(AND($B$56&gt;1, $E$58="No"),Sample_Y2!$K$39,IF(AND($B$56&gt;1, $E$58="Yes, except for equipment in Year 1."), $B$16, " ")))</f>
        <v>2600</v>
      </c>
      <c r="D16" s="951">
        <f>IF(AND($B$56&gt;2,$E$58="Yes"),$B$16,IF(AND($B$56&gt;2, $E$58="No"),Sample_Y3!$K$39,IF(AND($B$56&gt;2, $E$58="Yes, except for equipment in Year 1."), $B$16, " ")))</f>
        <v>2600</v>
      </c>
      <c r="E16" s="951">
        <f>IF(AND($B$56&gt;3,$E$58="Yes"),$B$16,IF(AND($B$56&gt;3, $E$58="No"),Sample_Y4!$K$39,IF(AND($B$56&gt;3, $E$58="Yes, except for equipment in Year 1."), $B$16, " ")))</f>
        <v>2600</v>
      </c>
      <c r="F16" s="951">
        <f>IF(AND($B$56&gt;4,$E$58="Yes"),$B$16,IF(AND($B$56&gt;4, $E$58="No"),Sample_Y5!$K$39,IF(AND($B$56&gt;4, $E$58="Yes, except for equipment in Year 1."), $B$16, " ")))</f>
        <v>2600</v>
      </c>
      <c r="G16" s="951">
        <f t="shared" si="0"/>
        <v>13000</v>
      </c>
      <c r="H16" s="571" t="s">
        <v>387</v>
      </c>
      <c r="K16" s="572"/>
      <c r="L16" s="572"/>
      <c r="M16" s="572"/>
      <c r="N16" s="571"/>
      <c r="O16" s="571"/>
      <c r="P16" s="571"/>
      <c r="Q16" s="571"/>
      <c r="R16" s="571"/>
      <c r="S16" s="571"/>
      <c r="T16" s="571"/>
    </row>
    <row r="17" spans="1:26" x14ac:dyDescent="0.25">
      <c r="A17" s="528" t="s">
        <v>33</v>
      </c>
      <c r="B17" s="951">
        <f>Sample_Y1!K45</f>
        <v>0</v>
      </c>
      <c r="C17" s="951">
        <f>IF(AND($B$56&gt;1,$E$58="Yes"),$B$17,IF(AND($B$56&gt;1, $E$58="No"),Sample_Y2!$K$45,IF(AND($B$56&gt;1, $E$58="Yes, except for equipment in Year 1."), $B$17, " ")))</f>
        <v>0</v>
      </c>
      <c r="D17" s="951">
        <f>IF(AND($B$56&gt;2,$E$58="Yes"),$B$17,IF(AND($B$56&gt;2, $E$58="No"),Sample_Y3!$K$45,IF(AND($B$56&gt;2, $E$58="Yes, except for equipment in Year 1."), $B$17, " ")))</f>
        <v>0</v>
      </c>
      <c r="E17" s="951">
        <f>IF(AND($B$56&gt;3,$E$58="Yes"),$B$17,IF(AND($B$56&gt;3, $E$58="No"),Sample_Y4!$K$45,IF(AND($B$56&gt;3, $E$58="Yes, except for equipment in Year 1."), $B$17, " ")))</f>
        <v>0</v>
      </c>
      <c r="F17" s="951">
        <f>IF(AND($B$56&gt;4,$E$58="Yes"),$B$17,IF(AND($B$56&gt;4, $E$58="No"),Sample_Y5!$K$45,IF(AND($B$56&gt;4, $E$58="Yes, except for equipment in Year 1."), $B$17, " ")))</f>
        <v>0</v>
      </c>
      <c r="G17" s="951">
        <f t="shared" si="0"/>
        <v>0</v>
      </c>
      <c r="H17" s="571" t="s">
        <v>388</v>
      </c>
      <c r="K17" s="572"/>
      <c r="L17" s="572"/>
      <c r="M17" s="572"/>
      <c r="N17" s="571"/>
      <c r="O17" s="571"/>
      <c r="P17" s="571"/>
      <c r="Q17" s="571"/>
      <c r="R17" s="571"/>
      <c r="S17" s="571"/>
      <c r="T17" s="571"/>
    </row>
    <row r="18" spans="1:26" x14ac:dyDescent="0.25">
      <c r="A18" s="528" t="s">
        <v>34</v>
      </c>
      <c r="B18" s="951">
        <f>Sample_Y1!K50</f>
        <v>0</v>
      </c>
      <c r="C18" s="951">
        <f>IF(AND($B$56&gt;1,$E$58="Yes"),$B$18,IF(AND($B$56&gt;1, $E$58="No"),Sample_Y2!$K$50,IF(AND($B$56&gt;1, $E$58="Yes, except for equipment in Year 1."), $B$18, " ")))</f>
        <v>0</v>
      </c>
      <c r="D18" s="951">
        <f>IF(AND($B$56&gt;2,$E$58="Yes"),$B$18,IF(AND($B$56&gt;2, $E$58="No"),Sample_Y3!$K$50,IF(AND($B$56&gt;2, $E$58="Yes, except for equipment in Year 1."), $B$18, " ")))</f>
        <v>0</v>
      </c>
      <c r="E18" s="951">
        <f>IF(AND($B$56&gt;3,$E$58="Yes"),$B$18,IF(AND($B$56&gt;3, $E$58="No"),Sample_Y4!$K$50,IF(AND($B$56&gt;3, $E$58="Yes, except for equipment in Year 1."), $B$18, " ")))</f>
        <v>0</v>
      </c>
      <c r="F18" s="951">
        <f>IF(AND($B$56&gt;4,$E$58="Yes"),$B$18,IF(AND($B$56&gt;4, $E$58="No"),Sample_Y5!$K$50,IF(AND($B$56&gt;4, $E$58="Yes, except for equipment in Year 1."), $B$18, " ")))</f>
        <v>0</v>
      </c>
      <c r="G18" s="951">
        <f t="shared" si="0"/>
        <v>0</v>
      </c>
      <c r="H18" s="571" t="s">
        <v>389</v>
      </c>
      <c r="K18" s="572"/>
      <c r="L18" s="572"/>
      <c r="M18" s="572"/>
      <c r="N18" s="571"/>
      <c r="O18" s="571"/>
      <c r="P18" s="571"/>
      <c r="Q18" s="571"/>
      <c r="R18" s="571"/>
      <c r="S18" s="571"/>
      <c r="T18" s="571"/>
    </row>
    <row r="19" spans="1:26" s="7" customFormat="1" x14ac:dyDescent="0.25">
      <c r="A19" s="529" t="s">
        <v>53</v>
      </c>
      <c r="B19" s="951">
        <f>Sample_Y1!K55</f>
        <v>28000</v>
      </c>
      <c r="C19" s="951">
        <f>IF(AND($B$56&gt;1,$E$58="Yes"),$B$19,IF(AND($B$56&gt;1, $E$58="No"),Sample_Y2!$K$55,IF(AND($B$56&gt;1, $E$58="Yes, except for equipment in Year 1."), $B$19, " ")))</f>
        <v>28000</v>
      </c>
      <c r="D19" s="951">
        <f>IF(AND($B$56&gt;2,$E$58="Yes"),$B$19,IF(AND($B$56&gt;2, $E$58="No"),Sample_Y3!$K$55,IF(AND($B$56&gt;2, $E$58="Yes, except for equipment in Year 1."), $B$19, " ")))</f>
        <v>28000</v>
      </c>
      <c r="E19" s="951">
        <f>IF(AND($B$56&gt;3,$E$58="Yes"),$B$19,IF(AND($B$56&gt;3, $E$58="No"),Sample_Y4!$K$55,IF(AND($B$56&gt;3, $E$58="Yes, except for equipment in Year 1."), $B$19, " ")))</f>
        <v>28000</v>
      </c>
      <c r="F19" s="951">
        <f>IF(AND($B$56&gt;4,$E$58="Yes"),$B$19,IF(AND($B$56&gt;4, $E$58="No"),Sample_Y5!$K$55,IF(AND($B$56&gt;4, $E$58="Yes, except for equipment in Year 1."), $B$19, " ")))</f>
        <v>28000</v>
      </c>
      <c r="G19" s="951">
        <f t="shared" si="0"/>
        <v>140000</v>
      </c>
      <c r="H19" s="571" t="s">
        <v>390</v>
      </c>
      <c r="I19" s="569"/>
      <c r="J19" s="569"/>
      <c r="K19" s="572"/>
      <c r="L19" s="572"/>
      <c r="M19" s="572"/>
      <c r="N19" s="571"/>
      <c r="O19" s="571"/>
      <c r="P19" s="571"/>
      <c r="Q19" s="571"/>
      <c r="R19" s="571"/>
      <c r="S19" s="571"/>
      <c r="T19" s="571"/>
      <c r="U19" s="569"/>
      <c r="V19" s="569"/>
      <c r="W19" s="569"/>
      <c r="X19" s="569"/>
      <c r="Y19" s="569"/>
      <c r="Z19" s="569"/>
    </row>
    <row r="20" spans="1:26" s="7" customFormat="1" x14ac:dyDescent="0.25">
      <c r="A20" s="530" t="s">
        <v>288</v>
      </c>
      <c r="B20" s="951">
        <f>Sample_Y1!I63</f>
        <v>54500</v>
      </c>
      <c r="C20" s="951">
        <f>IF(AND($B$56&gt;1,$E$58="Yes"),$B$20,IF(AND($B$56&gt;1, $E$58="No"),Sample_Y2!$I$63,IF(AND($B$56&gt;1, $E$58="Yes, except for equipment in Year 1."), $B$20, " ")))</f>
        <v>54500</v>
      </c>
      <c r="D20" s="951">
        <f>IF(AND($B$56&gt;2,$E$58="Yes"),$B$20,IF(AND($B$56&gt;2, $E$58="No"),Sample_Y3!$I$63,IF(AND($B$56&gt;2, $E$58="Yes, except for equipment in Year 1."), $B$20, " ")))</f>
        <v>54500</v>
      </c>
      <c r="E20" s="951">
        <f>IF(AND($B$56&gt;3,$E$58="Yes"),$B$20,IF(AND($B$56&gt;3, $E$58="No"),Sample_Y4!$I$63,IF(AND($B$56&gt;3, $E$58="Yes, except for equipment in Year 1."), $B$20, " ")))</f>
        <v>54500</v>
      </c>
      <c r="F20" s="951">
        <f>IF(AND($B$56&gt;4,$E$58="Yes"),$B$20,IF(AND($B$56&gt;4, $E$58="No"),Sample_Y5!$I$63,IF(AND($B$56&gt;4, $E$58="Yes, except for equipment in Year 1."), $B$20, " ")))</f>
        <v>54500</v>
      </c>
      <c r="G20" s="951">
        <f t="shared" si="0"/>
        <v>272500</v>
      </c>
      <c r="H20" s="571" t="s">
        <v>391</v>
      </c>
      <c r="I20" s="569"/>
      <c r="J20" s="569"/>
      <c r="K20" s="572"/>
      <c r="L20" s="572"/>
      <c r="M20" s="572"/>
      <c r="N20" s="571"/>
      <c r="O20" s="571"/>
      <c r="P20" s="571"/>
      <c r="Q20" s="571"/>
      <c r="R20" s="571"/>
      <c r="S20" s="571"/>
      <c r="T20" s="571"/>
      <c r="U20" s="569"/>
      <c r="V20" s="569"/>
      <c r="W20" s="569"/>
      <c r="X20" s="569"/>
      <c r="Y20" s="569"/>
      <c r="Z20" s="569"/>
    </row>
    <row r="21" spans="1:26" s="7" customFormat="1" x14ac:dyDescent="0.25">
      <c r="A21" s="530" t="s">
        <v>97</v>
      </c>
      <c r="B21" s="951">
        <f>Sample_Y1!J63</f>
        <v>19075</v>
      </c>
      <c r="C21" s="951">
        <f>IF(AND($B$56&gt;1,$E$58="Yes"),$B$21,IF(AND($B$56&gt;1, $E$58="No"),Sample_Y2!$J$63,IF(AND($B$56&gt;1, $E$58="Yes, except for equipment in Year 1."), $B$21, " ")))</f>
        <v>19075</v>
      </c>
      <c r="D21" s="951">
        <f>IF(AND($B$56&gt;2,$E$58="Yes"),$B$21,IF(AND($B$56&gt;2, $E$58="No"),Sample_Y3!$J$63,IF(AND($B$56&gt;2, $E$58="Yes, except for equipment in Year 1."), $B$21, " ")))</f>
        <v>19075</v>
      </c>
      <c r="E21" s="951">
        <f>IF(AND($B$56&gt;3,$E$58="Yes"),$B$21,IF(AND($B$56&gt;3, $E$58="No"),Sample_Y4!$J$63,IF(AND($B$56&gt;3, $E$58="Yes, except for equipment in Year 1."), $B$21, " ")))</f>
        <v>19075</v>
      </c>
      <c r="F21" s="951">
        <f>IF(AND($B$56&gt;4,$E$58="Yes"),$B$21,IF(AND($B$56&gt;4, $E$58="No"),Sample_Y5!$J$63,IF(AND($B$56&gt;4, $E$58="Yes, except for equipment in Year 1."), $B$21, " ")))</f>
        <v>19075</v>
      </c>
      <c r="G21" s="951">
        <f t="shared" si="0"/>
        <v>95375</v>
      </c>
      <c r="H21" s="571" t="s">
        <v>392</v>
      </c>
      <c r="I21" s="569"/>
      <c r="J21" s="569"/>
      <c r="K21" s="572"/>
      <c r="L21" s="572"/>
      <c r="M21" s="572"/>
      <c r="N21" s="571"/>
      <c r="O21" s="571"/>
      <c r="P21" s="571"/>
      <c r="Q21" s="571"/>
      <c r="R21" s="571"/>
      <c r="S21" s="571"/>
      <c r="T21" s="571"/>
      <c r="U21" s="569"/>
      <c r="V21" s="569"/>
      <c r="W21" s="569"/>
      <c r="X21" s="569"/>
      <c r="Y21" s="569"/>
      <c r="Z21" s="569"/>
    </row>
    <row r="22" spans="1:26" x14ac:dyDescent="0.25">
      <c r="A22" s="528" t="s">
        <v>67</v>
      </c>
      <c r="B22" s="951">
        <f>Sample_Y1!K78</f>
        <v>26000</v>
      </c>
      <c r="C22" s="952">
        <f>IF(AND($B$56&gt;1,$E$58="Yes"),$B$22,IF(AND($B$56&gt;1, $E$58="No"),Sample_Y2!$K$78,IF(AND($B$56&gt;1, $E$58="Yes, except for equipment in Year 1."), $B$22, " ")))</f>
        <v>26000</v>
      </c>
      <c r="D22" s="952">
        <f>IF(AND($B$56&gt;2,$E$58="Yes"),$B$22,IF(AND($B$56&gt;2, $E$58="No"),Sample_Y3!$K$78,IF(AND($B$56&gt;2, $E$58="Yes, except for equipment in Year 1."), $B$22, " ")))</f>
        <v>26000</v>
      </c>
      <c r="E22" s="952">
        <f>IF(AND($B$56&gt;3,$E$58="Yes"),$B$22,IF(AND($B$56&gt;3, $E$58="No"),Sample_Y4!$K$78,IF(AND($B$56&gt;3, $E$58="Yes, except for equipment in Year 1."), $B$22, " ")))</f>
        <v>26000</v>
      </c>
      <c r="F22" s="952">
        <f>IF(AND($B$56&gt;4,$E$58="Yes"),$B$22,IF(AND($B$56&gt;4, $E$58="No"),Sample_Y5!$K$78,IF(AND($B$56&gt;4, $E$58="Yes, except for equipment in Year 1."), $B$22, " ")))</f>
        <v>26000</v>
      </c>
      <c r="G22" s="952">
        <f t="shared" si="0"/>
        <v>130000</v>
      </c>
      <c r="H22" s="571" t="s">
        <v>393</v>
      </c>
      <c r="K22" s="572"/>
      <c r="L22" s="572"/>
      <c r="M22" s="572"/>
      <c r="N22" s="571"/>
      <c r="O22" s="571"/>
      <c r="P22" s="571"/>
      <c r="Q22" s="571"/>
      <c r="R22" s="571"/>
      <c r="S22" s="571"/>
      <c r="T22" s="571"/>
    </row>
    <row r="23" spans="1:26" ht="27.6" x14ac:dyDescent="0.25">
      <c r="A23" s="531" t="s">
        <v>51</v>
      </c>
      <c r="B23" s="953">
        <f>SUM(B14:B22)</f>
        <v>214455</v>
      </c>
      <c r="C23" s="954">
        <f>IF(AND($B$56&gt;1,$E$58="Yes"),$B$23,IF(AND($B$56&gt;1, $E$58="No"),SUM(C14:C22),IF(AND($B$56&gt;1, $E$58="Yes, except for equipment in Year 1."), SUM(C14:C22), " ")))</f>
        <v>203455</v>
      </c>
      <c r="D23" s="954">
        <f>IF(AND($B$56&gt;2,$E$58="Yes"),$B$23,IF(AND($B$56&gt;2, $E$58="No"),SUM(D14:D22),IF(AND($B$56&gt;2, $E$58="Yes, except for equipment in Year 1."), SUM(D14:D22), " ")))</f>
        <v>203455</v>
      </c>
      <c r="E23" s="954">
        <f>IF(AND($B$56&gt;3,$E$58="Yes"),$B$23,IF(AND($B$56&gt;3, $E$58="No"),SUM(E14:E22),IF(AND($B$56&gt;3, $E$58="Yes, except for equipment in Year 1."), SUM(E14:E22), " ")))</f>
        <v>203455</v>
      </c>
      <c r="F23" s="954">
        <f>IF(AND($B$56&gt;4,$E$58="Yes"),$B$23,IF(AND($B$56&gt;4, $E$58="No"),SUM(F14:F22),IF(AND($B$56&gt;4, $E$58="Yes, except for equipment in Year 1."), SUM(F14:F22), " ")))</f>
        <v>203455</v>
      </c>
      <c r="G23" s="954">
        <f t="shared" si="0"/>
        <v>1028275</v>
      </c>
      <c r="H23" s="573" t="s">
        <v>394</v>
      </c>
      <c r="I23" s="573"/>
      <c r="J23" s="573"/>
      <c r="K23" s="573"/>
      <c r="L23" s="573"/>
      <c r="M23" s="573"/>
      <c r="N23" s="573"/>
      <c r="O23" s="573"/>
      <c r="P23" s="573"/>
      <c r="Q23" s="573"/>
      <c r="R23" s="573"/>
      <c r="S23" s="573"/>
      <c r="T23" s="573"/>
    </row>
    <row r="24" spans="1:26" x14ac:dyDescent="0.25">
      <c r="A24" s="527"/>
      <c r="B24" s="955"/>
      <c r="C24" s="990"/>
      <c r="D24" s="956"/>
      <c r="E24" s="956"/>
      <c r="F24" s="956"/>
      <c r="G24" s="957"/>
      <c r="H24" s="573"/>
      <c r="I24" s="573"/>
      <c r="J24" s="573"/>
      <c r="K24" s="573"/>
      <c r="L24" s="573"/>
      <c r="M24" s="573"/>
      <c r="N24" s="573"/>
      <c r="O24" s="573"/>
      <c r="P24" s="573"/>
      <c r="Q24" s="573"/>
      <c r="R24" s="573"/>
      <c r="S24" s="573"/>
      <c r="T24" s="573"/>
    </row>
    <row r="25" spans="1:26" x14ac:dyDescent="0.25">
      <c r="A25" s="532" t="s">
        <v>50</v>
      </c>
      <c r="B25" s="955"/>
      <c r="C25" s="990"/>
      <c r="D25" s="956"/>
      <c r="E25" s="956"/>
      <c r="F25" s="956"/>
      <c r="G25" s="957"/>
      <c r="H25" s="546"/>
      <c r="I25" s="573"/>
      <c r="J25" s="573"/>
      <c r="K25" s="573"/>
      <c r="L25" s="573"/>
      <c r="M25" s="573"/>
      <c r="N25" s="573"/>
      <c r="O25" s="573"/>
      <c r="P25" s="573"/>
      <c r="Q25" s="573"/>
      <c r="R25" s="573"/>
      <c r="S25" s="573"/>
      <c r="T25" s="573"/>
    </row>
    <row r="26" spans="1:26" x14ac:dyDescent="0.25">
      <c r="A26" s="533" t="s">
        <v>98</v>
      </c>
      <c r="B26" s="958">
        <f>Sample_Y1!I83</f>
        <v>140880</v>
      </c>
      <c r="C26" s="991">
        <f>IF(AND($B$56&gt;1,$E$58="Yes"),$B$26,IF(AND($B$56&gt;1,$E$58="No"),Sample_Y2!$I$83,IF(AND($B$56&gt;1,$E$58="Yes, except for equipment in Year 1."),$B$26-$B$15," ")))</f>
        <v>129880</v>
      </c>
      <c r="D26" s="991">
        <f>IF(AND($B$56&gt;2,$E$58="Yes"),$B$26,IF(AND($B$56&gt;2,$E$58="No"),Sample_Y3!$I$83,IF(AND($B$56&gt;2,$E$58="Yes, except for equipment in Year 1."),$B$26-$B$15," ")))</f>
        <v>129880</v>
      </c>
      <c r="E26" s="991">
        <f>IF(AND($B$56&gt;3,$E$58="Yes"),$B$26,IF(AND($B$56&gt;3,$E$58="No"),Sample_Y4!$I$83,IF(AND($B$56&gt;3,$E$58="Yes, except for equipment in Year 1."),$B$26-$B$15," ")))</f>
        <v>129880</v>
      </c>
      <c r="F26" s="991">
        <f>IF(AND($B$56&gt;4,$E$58="Yes"),$B$26,IF(AND($B$56&gt;4,$E$58="No"),Sample_Y5!$I$83,IF(AND($B$56&gt;4,$E$58="Yes, except for equipment in Year 1."),$B$26-$B$15," ")))</f>
        <v>129880</v>
      </c>
      <c r="G26" s="954">
        <f>SUM(B26:F26)</f>
        <v>660400</v>
      </c>
      <c r="H26" s="569" t="s">
        <v>404</v>
      </c>
      <c r="I26" s="573" t="s">
        <v>403</v>
      </c>
      <c r="J26" s="573"/>
      <c r="K26" s="572" t="s">
        <v>401</v>
      </c>
      <c r="L26" s="573"/>
      <c r="M26" s="573"/>
      <c r="N26" s="575"/>
      <c r="O26" s="573"/>
      <c r="P26" s="573"/>
      <c r="Q26" s="573"/>
      <c r="R26" s="573"/>
      <c r="S26" s="573"/>
      <c r="T26" s="573"/>
    </row>
    <row r="27" spans="1:26" x14ac:dyDescent="0.25">
      <c r="A27" s="533" t="s">
        <v>219</v>
      </c>
      <c r="B27" s="958">
        <f>Sample_Y1!I84</f>
        <v>195380</v>
      </c>
      <c r="C27" s="991">
        <f>IF(AND($B$56&gt;1,$E$58="Yes"),$B$27,IF(AND($B$56&gt;1,$E$58="No"),Sample_Y2!$I$84,IF(AND($B$56&gt;1,$E$58="Yes, except for equipment in Year 1."),$B$27-$B$15," ")))</f>
        <v>184380</v>
      </c>
      <c r="D27" s="991">
        <f>IF(AND($B$56&gt;2,$E$58="Yes"),$B$27,IF(AND($B$56&gt;2,$E$58="No"),Sample_Y3!$I$84,IF(AND($B$56&gt;2,$E$58="Yes, except for equipment in Year 1."),$B$27-$B$15," ")))</f>
        <v>184380</v>
      </c>
      <c r="E27" s="991">
        <f>IF(AND($B$56&gt;3,$E$58="Yes"),$B$27,IF(AND($B$56&gt;3,$E$58="No"),Sample_Y4!$I$84,IF(AND($B$56&gt;3,$E$58="Yes, except for equipment in Year 1."),$B$27-$B$15," ")))</f>
        <v>184380</v>
      </c>
      <c r="F27" s="991">
        <f>IF(AND($B$56&gt;4,$E$58="Yes"),$B$27,IF(AND($B$56&gt;4,$E$58="No"),Sample_Y5!$I$84,IF(AND($B$56&gt;4,$E$58="Yes, except for equipment in Year 1."),$B$27-$B$15," ")))</f>
        <v>184380</v>
      </c>
      <c r="G27" s="954">
        <f>SUM(B27:F27)</f>
        <v>932900</v>
      </c>
      <c r="H27" s="574" t="s">
        <v>395</v>
      </c>
      <c r="I27" s="573" t="s">
        <v>396</v>
      </c>
      <c r="J27" s="573"/>
      <c r="K27" s="572" t="s">
        <v>402</v>
      </c>
      <c r="L27" s="573"/>
      <c r="M27" s="573"/>
      <c r="N27" s="573"/>
      <c r="O27" s="573"/>
      <c r="P27" s="573"/>
      <c r="Q27" s="573"/>
      <c r="R27" s="573"/>
      <c r="S27" s="573"/>
      <c r="T27" s="573"/>
    </row>
    <row r="28" spans="1:26" ht="32.25" customHeight="1" x14ac:dyDescent="0.25">
      <c r="A28" s="534" t="s">
        <v>99</v>
      </c>
      <c r="B28" s="959">
        <f>IF($B$60="Yes", Sample_Y1!$K$85, " ")</f>
        <v>200000</v>
      </c>
      <c r="C28" s="992">
        <f>IF(AND($B$56&gt;1,$E$58="Yes"),$B$28,IF(AND($B$56&gt;1,$E$58="No"),Sample_Y2!$K$85,IF(AND($B$56&gt;1,$E$58="Yes, except for equipment in Year 1."),$B$28," ")))</f>
        <v>200000</v>
      </c>
      <c r="D28" s="992">
        <f>IF(AND($B$56&gt;2,$E$58="Yes"),$B$28,IF(AND($B$56&gt;2,$E$58="No"),Sample_Y3!$K$85,IF(AND($B$56&gt;2,$E$58="Yes, except for equipment in Year 1."),$B$28," ")))</f>
        <v>200000</v>
      </c>
      <c r="E28" s="992">
        <f>IF(AND($B$56&gt;3,$E$58="Yes"),$B$28,IF(AND($B$56&gt;3,$E$58="No"),Sample_Y3!$K$85,IF(AND($B$56&gt;3,$E$58="Yes, except for equipment in Year 1."),$B$28," ")))</f>
        <v>200000</v>
      </c>
      <c r="F28" s="992">
        <f>IF(AND($B$56&gt;4,$E$58="Yes"),$B$28,IF(AND($B$56&gt;4,$E$58="No"),Sample_Y5!$K$85,IF(AND($B$56&gt;4,$E$58="Yes, except for equipment in Year 1."),$B$28," ")))</f>
        <v>200000</v>
      </c>
      <c r="G28" s="954">
        <f>SUM(B28:F28)</f>
        <v>1000000</v>
      </c>
      <c r="H28" s="574" t="s">
        <v>398</v>
      </c>
      <c r="I28" s="573" t="s">
        <v>397</v>
      </c>
      <c r="J28" s="573"/>
      <c r="K28" s="573"/>
      <c r="L28" s="573"/>
      <c r="M28" s="573"/>
      <c r="N28" s="573"/>
      <c r="O28" s="573"/>
      <c r="P28" s="573"/>
      <c r="Q28" s="573"/>
      <c r="R28" s="573"/>
      <c r="S28" s="573"/>
      <c r="T28" s="573"/>
    </row>
    <row r="29" spans="1:26" x14ac:dyDescent="0.25">
      <c r="A29" s="533"/>
      <c r="B29" s="955"/>
      <c r="C29" s="960"/>
      <c r="D29" s="960"/>
      <c r="E29" s="960"/>
      <c r="F29" s="960"/>
      <c r="G29" s="957"/>
      <c r="H29" s="573"/>
      <c r="I29" s="573"/>
      <c r="J29" s="573"/>
      <c r="K29" s="573"/>
      <c r="L29" s="573"/>
      <c r="M29" s="573"/>
      <c r="N29" s="573"/>
      <c r="O29" s="573"/>
      <c r="P29" s="573"/>
      <c r="Q29" s="573"/>
      <c r="R29" s="573"/>
      <c r="S29" s="573"/>
      <c r="T29" s="573"/>
    </row>
    <row r="30" spans="1:26" x14ac:dyDescent="0.25">
      <c r="A30" s="533" t="s">
        <v>24</v>
      </c>
      <c r="B30" s="961">
        <f xml:space="preserve"> IF($B$64="Yes", Sample_Y1!$H$97, Sample_Y1!$I$101)</f>
        <v>129704.5</v>
      </c>
      <c r="C30" s="961">
        <f>IF(AND($B$56&gt;1,$E$58="Yes"),$B$30-$B$71-$B$80+$I$80,IF(AND($B$56&gt;1,$E$58="Yes, except for equipment in Year 1.",$B$60="Yes"),$B$30-$B$71-$B$80+$I$80+$B$15,IF(AND($B$56&gt;1,$E$58="Yes, except for equipment in Year 1.",$B$60="No"),$B$30-$B$71-$B$80+$I$80,IF(AND($B$56&gt;1,$E$58="No", C$64="Yes"),Sample_Y2!$H$97,IF(AND($B$56&gt;1,$E$58="No", C64="No"),Sample_Y2!$I$101," ")))))</f>
        <v>115704.5</v>
      </c>
      <c r="D30" s="961">
        <f>IF(AND($B$56&gt;2,$E$58="Yes"),$B$30-$B$71-$B$80+$I$80-$L$81,IF(AND($B$56&gt;2,$E$58="Yes, except for equipment in Year 1.",$B$60="Yes"),$B$30-$B$71-$B$80+$I$80-$L$81+$B$15,IF(AND($B$56&gt;2,$E$58="Yes, except for equipment in Year 1.",$B$60="No"),$B$30-$B$71-$B$80+$I$80-$L$81,IF(AND($B$56&gt;2,$E$58="No", D$64="Yes"),Sample_Y3!$H$97,IF(AND($B$56&gt;2,$E$58="No", $D64="No"),Sample_Y3!$I$101," ")))))</f>
        <v>115704.5</v>
      </c>
      <c r="E30" s="961">
        <f>IF(AND($B$56&gt;3,$E$58="Yes"),$B$30-$B$71-$B$80+$I$80-$L$81-$O$81,IF(AND($B$56&gt;3,$E$58="Yes, except for equipment in Year 1.",$B$60="Yes"),$B$30-$B$71-$B$80+$I$80-$L$81-$O$81+$B$15,IF(AND($B$56&gt;3,$E$58="Yes, except for equipment in Year 1.",$B$60="No"),$B$30-$B$71-$B$80+$I$80-$L$81-$O$81,IF(AND($B$56&gt;3,$E$58="No", E$64="Yes"),Sample_Y4!$H$97,IF(AND($B$56&gt;3,$E$58="No", E64="No"),Sample_Y4!$I$101," ")))))</f>
        <v>115704.5</v>
      </c>
      <c r="F30" s="961">
        <f>IF(AND($B$56&gt;4,$E$58="Yes"),$B$30-$B$71-$B$80+$I$80-$L$81-$O$81-$R$81,IF(AND($B$56&gt;4,$E$58="Yes, except for equipment in Year 1.",$B$60="Yes"),$B$30-$B$71-$B$80+$I$80-$L$81-$O$81-$R$81+$B$15,IF(AND($B$56&gt;4,$E$58="Yes, except for equipment in Year 1.",$B$60="No"),$B$30-$B$71-$B$80+$I$80-$L$81-$O$81-$R$81,IF(AND($B$56&gt;4,$E$58="No", F$64="Yes"),Sample_Y5!$H$97,IF(AND($B$56&gt;4,$E$58="No", F$64="No"),Sample_Y5!$I$101," ")))))</f>
        <v>115704.5</v>
      </c>
      <c r="G30" s="951">
        <f>SUM(B30:F30)</f>
        <v>592522.5</v>
      </c>
      <c r="H30" s="574"/>
      <c r="I30" s="573" t="s">
        <v>407</v>
      </c>
      <c r="J30" s="573"/>
      <c r="K30" s="573"/>
      <c r="L30" s="573"/>
      <c r="M30" s="573"/>
      <c r="N30" s="573"/>
      <c r="O30" s="573"/>
      <c r="P30" s="573"/>
      <c r="Q30" s="573"/>
      <c r="R30" s="573"/>
      <c r="S30" s="573"/>
      <c r="T30" s="573"/>
    </row>
    <row r="31" spans="1:26" x14ac:dyDescent="0.25">
      <c r="A31" s="534" t="s">
        <v>313</v>
      </c>
      <c r="B31" s="962">
        <f xml:space="preserve"> IF($B$64="Yes", Sample_Y1!$C$97, Sample_Y1!$I$102)</f>
        <v>0.69499999999999995</v>
      </c>
      <c r="C31" s="962">
        <f>IF(AND($B$56&gt;1,$E$58="Yes"),$B$31,IF(AND($B$56&gt;1,$E$58="Yes, except for equipment in Year 1."),$B$31,IF(AND($B$56&gt;1,$E$58="No",C$64="Yes"),Sample_Y2!$C$97,IF(AND($B$56&gt;1,$E$58="No",$C64="No"),Sample_Y2!$I$102," "))))</f>
        <v>0.69499999999999995</v>
      </c>
      <c r="D31" s="962">
        <f>IF(AND($B$56&gt;2,$E$58="Yes"),$B$31,IF(AND($B$56&gt;2,$E$58="Yes, except for equipment in Year 1."),$B$31,IF(AND($B$56&gt;2,$E$58="No",D$64="Yes"),Sample_Y3!$C$97,IF(AND($B$56&gt;2,$E$58="No",$D64="No"),Sample_Y3!$I$102," "))))</f>
        <v>0.69499999999999995</v>
      </c>
      <c r="E31" s="962">
        <f>IF(AND($B$56&gt;3,$E$58="Yes"),$B$31,IF(AND($B$56&gt;3,$E$58="Yes, except for equipment in Year 1."),$B$31,IF(AND($B$56&gt;3,$E$58="No",E$64="Yes"),Sample_Y4!$C$97,IF(AND($B$56&gt;3,$E$58="No",$E64="No"),Sample_Y4!$I$102," "))))</f>
        <v>0.69499999999999995</v>
      </c>
      <c r="F31" s="962">
        <f>IF(AND($B$56&gt;4,$E$58="Yes"),$B$31,IF(AND($B$56&gt;4,$E$58="Yes, except for equipment in Year 1."),$B$31,IF(AND($B$56&gt;4,$E$58="No",F$64="Yes"),Sample_Y5!$C$97,IF(AND($B$56&gt;4,$E$58="No",F$64="No"),Sample_Y5!$I$102," "))))</f>
        <v>0.69499999999999995</v>
      </c>
      <c r="G31" s="963"/>
      <c r="H31" s="574"/>
      <c r="I31" s="573" t="s">
        <v>406</v>
      </c>
      <c r="J31" s="573"/>
      <c r="K31" s="573"/>
      <c r="L31" s="573"/>
      <c r="M31" s="573"/>
      <c r="N31" s="573"/>
      <c r="O31" s="573"/>
      <c r="P31" s="573"/>
      <c r="Q31" s="573"/>
      <c r="R31" s="573"/>
      <c r="S31" s="573"/>
      <c r="T31" s="573"/>
    </row>
    <row r="32" spans="1:26" ht="32.25" customHeight="1" x14ac:dyDescent="0.25">
      <c r="A32" s="535" t="s">
        <v>100</v>
      </c>
      <c r="B32" s="964">
        <f xml:space="preserve"> IF($B$64="Yes", Sample_Y1!I98, Sample_Y1!K103)</f>
        <v>90144.627499999988</v>
      </c>
      <c r="C32" s="993">
        <f>IF($B$56&gt;1, C30*C31, " ")</f>
        <v>80414.627499999988</v>
      </c>
      <c r="D32" s="993">
        <f>IF($B$56&gt;2, D30*D31, " ")</f>
        <v>80414.627499999988</v>
      </c>
      <c r="E32" s="993">
        <f>IF($B$56&gt;3, E30*E31, " ")</f>
        <v>80414.627499999988</v>
      </c>
      <c r="F32" s="993">
        <f>IF($B$56&gt;4, F30*F31, " ")</f>
        <v>80414.627499999988</v>
      </c>
      <c r="G32" s="954">
        <f>SUM(B32:F32)</f>
        <v>411803.13749999995</v>
      </c>
      <c r="H32" s="574"/>
      <c r="K32" s="576" t="s">
        <v>408</v>
      </c>
      <c r="L32" s="576"/>
      <c r="M32" s="576"/>
      <c r="N32" s="577"/>
      <c r="O32" s="577"/>
      <c r="P32" s="577"/>
      <c r="Q32" s="577"/>
      <c r="R32" s="577"/>
      <c r="S32" s="577"/>
      <c r="T32" s="577"/>
    </row>
    <row r="33" spans="1:11" x14ac:dyDescent="0.25">
      <c r="A33" s="527"/>
      <c r="B33" s="957"/>
      <c r="C33" s="965"/>
      <c r="D33" s="966"/>
      <c r="E33" s="966"/>
      <c r="F33" s="966"/>
      <c r="G33" s="957"/>
    </row>
    <row r="34" spans="1:11" x14ac:dyDescent="0.25">
      <c r="A34" s="942" t="s">
        <v>35</v>
      </c>
      <c r="B34" s="967">
        <f>Sample_Y1!K108</f>
        <v>309219.6275</v>
      </c>
      <c r="C34" s="968">
        <f>IF(AND($B$56&gt;1, $B$60="Yes"), C28+C21+C32, IF(AND($B$56&gt;1, $B$60="No"), C23+C32, " "))</f>
        <v>299489.6275</v>
      </c>
      <c r="D34" s="968">
        <f>IF(AND($B$56&gt;2, $B$60="Yes"), D28+D21+D32, IF(AND($B$56&gt;2, $B$60="No"), D23+D32, " "))</f>
        <v>299489.6275</v>
      </c>
      <c r="E34" s="968">
        <f>IF(AND($B$56&gt;3, $B$60="Yes"), E28+E21+E32, IF(AND($B$56&gt;3, $B$60="No"), E23+E32, " "))</f>
        <v>299489.6275</v>
      </c>
      <c r="F34" s="968">
        <f>IF(AND($B$56&gt;4, $B$60="Yes"), F28+F21+F32, IF(AND($B$56&gt;4, $B$60="No"), F23+F32, " "))</f>
        <v>299489.6275</v>
      </c>
      <c r="G34" s="967">
        <f>SUM(B34:F34)</f>
        <v>1507178.1375</v>
      </c>
      <c r="H34" s="574"/>
      <c r="K34" s="545" t="s">
        <v>409</v>
      </c>
    </row>
    <row r="35" spans="1:11" x14ac:dyDescent="0.25">
      <c r="A35" s="527"/>
      <c r="B35" s="547"/>
      <c r="C35" s="548"/>
      <c r="D35" s="549"/>
      <c r="E35" s="547"/>
      <c r="F35" s="547"/>
      <c r="G35" s="547"/>
    </row>
    <row r="36" spans="1:11" x14ac:dyDescent="0.25">
      <c r="A36" s="527"/>
      <c r="B36" s="547"/>
      <c r="C36" s="548"/>
      <c r="D36" s="549"/>
      <c r="E36" s="547"/>
      <c r="F36" s="547"/>
      <c r="G36" s="547"/>
    </row>
    <row r="37" spans="1:11" x14ac:dyDescent="0.25">
      <c r="A37" s="1582" t="s">
        <v>495</v>
      </c>
      <c r="B37" s="1583"/>
      <c r="C37" s="1583"/>
      <c r="D37" s="1583"/>
      <c r="E37" s="1583"/>
      <c r="F37" s="1583"/>
      <c r="G37" s="1584"/>
    </row>
    <row r="38" spans="1:11" ht="13.5" customHeight="1" x14ac:dyDescent="0.25">
      <c r="A38" s="928" t="s">
        <v>496</v>
      </c>
      <c r="B38" s="936">
        <f>IF($B$60="Yes", B28, B23-B21)</f>
        <v>200000</v>
      </c>
      <c r="C38" s="929">
        <f>IF(AND($B$56&gt;1,$E$58="Yes",$B$60="Yes"),$C$28,IF(AND($B$56&gt;1,$E$58="Yes",$B$60="No"),$C$27,IF(AND($B$56&gt;1,$E$58="No",$B$60="Yes"),$C$28,IF(AND($B$56&gt;1,$E$58="No",$B$60="Yes"),$C$27,IF(AND($B$56&gt;1,$E$58="Yes, except for equipment in Year 1.",$B$60="Yes"),$C$28,IF(AND($B$56&gt;1,$E$58="Yes, except for equipment in Year 1.",$B$60="No"),$C$27," "))
))))</f>
        <v>200000</v>
      </c>
      <c r="D38" s="929">
        <f>IF(AND($B$56&gt;2,$E$58="Yes",$B$60="Yes"),$D$28,IF(AND($B$56&gt;2,$E$58="Yes",$B$60="No"),$D$27,IF(AND($B$56&gt;2,$E$58="No",$B$60="Yes"),$D$28,IF(AND($B$56&gt;2,$E$58="No",$B$60="Yes"),$D$27,IF(AND($B$56&gt;2,$E$58="Yes, except for equipment in Year 1.",$B$60="Yes"),$D$28,IF(AND($B$56&gt;2,$E$58="Yes, except for equipment in Year 1.",$B$60="No"),$D$27," "))
))))</f>
        <v>200000</v>
      </c>
      <c r="E38" s="929">
        <f>IF(AND($B$56&gt;3,$E$58="Yes",$B$60="Yes"),$E$28,IF(AND($B$56&gt;3,$E$58="Yes",$B$60="No"),$E$27,IF(AND($B$56&gt;3,$E$58="No",$B$60="Yes"),$E$28,IF(AND($B$56&gt;3,$E$58="No",$B$60="Yes"),$E$27,IF(AND($B$56&gt;3,$E$58="Yes, except for equipment in Year 1.",$B$60="Yes"),$E$28,IF(AND($B$56&gt;3,$E$58="Yes, except for equipment in Year 1.",$B$60="No"),$E$27," "))
))))</f>
        <v>200000</v>
      </c>
      <c r="F38" s="929">
        <f>IF(AND($B$56&gt;4,$E$58="Yes",$B$60="Yes"),$F$28,IF(AND($B$56&gt;4,$E$58="Yes",$B$60="No"),$F$27,IF(AND($B$56&gt;4,$E$58="No",$B$60="Yes"),$F$28,IF(AND($B$56&gt;4,$E$58="No",$B$60="Yes"),$F$27,IF(AND($B$56&gt;4,$E$58="Yes, except for equipment in Year 1.",$B$60="Yes"),$F$28,IF(AND($B$56&gt;4,$E$58="Yes, except for equipment in Year 1.",$B$60="No"),$F$27," "))
))))</f>
        <v>200000</v>
      </c>
      <c r="G38" s="937">
        <f>SUM(B38:F38)</f>
        <v>1000000</v>
      </c>
    </row>
    <row r="39" spans="1:11" x14ac:dyDescent="0.25">
      <c r="A39" s="930" t="s">
        <v>492</v>
      </c>
      <c r="B39" s="938">
        <f>B21</f>
        <v>19075</v>
      </c>
      <c r="C39" s="929">
        <f>IF($B$56&gt;1, C$21, " ")</f>
        <v>19075</v>
      </c>
      <c r="D39" s="929">
        <f>IF($B$56&gt;2, D$21, " ")</f>
        <v>19075</v>
      </c>
      <c r="E39" s="929">
        <f>IF($B$56&gt;3, E$21, " ")</f>
        <v>19075</v>
      </c>
      <c r="F39" s="929">
        <f>IF($B$56&gt;4, F$21, " ")</f>
        <v>19075</v>
      </c>
      <c r="G39" s="937">
        <f>SUM(B39:F39)</f>
        <v>95375</v>
      </c>
    </row>
    <row r="40" spans="1:11" x14ac:dyDescent="0.25">
      <c r="A40" s="930" t="s">
        <v>493</v>
      </c>
      <c r="B40" s="939">
        <f>B32</f>
        <v>90144.627499999988</v>
      </c>
      <c r="C40" s="931">
        <f>IF($B$56&gt;1, C$32, " ")</f>
        <v>80414.627499999988</v>
      </c>
      <c r="D40" s="931">
        <f>IF($B$56&gt;2, D$32, " ")</f>
        <v>80414.627499999988</v>
      </c>
      <c r="E40" s="931">
        <f>IF($B$56&gt;3, E$32, " ")</f>
        <v>80414.627499999988</v>
      </c>
      <c r="F40" s="931">
        <f>IF($B$56&gt;4, F$32, " ")</f>
        <v>80414.627499999988</v>
      </c>
      <c r="G40" s="940">
        <f>SUM(B40:F40)</f>
        <v>411803.13749999995</v>
      </c>
    </row>
    <row r="41" spans="1:11" x14ac:dyDescent="0.25">
      <c r="A41" s="930" t="s">
        <v>494</v>
      </c>
      <c r="B41" s="936">
        <f>SUM(B38:B40)</f>
        <v>309219.6275</v>
      </c>
      <c r="C41" s="941">
        <f>SUM(C38:C40)</f>
        <v>299489.6275</v>
      </c>
      <c r="D41" s="941">
        <f t="shared" ref="D41:F41" si="1">SUM(D38:D40)</f>
        <v>299489.6275</v>
      </c>
      <c r="E41" s="941">
        <f t="shared" si="1"/>
        <v>299489.6275</v>
      </c>
      <c r="F41" s="941">
        <f t="shared" si="1"/>
        <v>299489.6275</v>
      </c>
      <c r="G41" s="937">
        <f>SUM(B41:F41)</f>
        <v>1507178.1375</v>
      </c>
    </row>
    <row r="42" spans="1:11" x14ac:dyDescent="0.25">
      <c r="A42" s="932"/>
      <c r="B42" s="933"/>
      <c r="C42" s="934"/>
      <c r="D42" s="933"/>
      <c r="E42" s="933"/>
      <c r="F42" s="933"/>
      <c r="G42" s="935"/>
    </row>
    <row r="43" spans="1:11" x14ac:dyDescent="0.25">
      <c r="A43" s="574"/>
      <c r="B43" s="348"/>
      <c r="C43" s="548"/>
      <c r="D43" s="359"/>
      <c r="E43" s="348"/>
      <c r="F43" s="348"/>
      <c r="G43" s="348"/>
    </row>
    <row r="44" spans="1:11" x14ac:dyDescent="0.25">
      <c r="A44" s="574"/>
      <c r="B44" s="348"/>
      <c r="C44" s="548"/>
      <c r="D44" s="359"/>
      <c r="E44" s="348"/>
      <c r="F44" s="348"/>
      <c r="G44" s="348"/>
    </row>
    <row r="45" spans="1:11" x14ac:dyDescent="0.25">
      <c r="A45" s="536" t="s">
        <v>19</v>
      </c>
      <c r="B45" s="547"/>
      <c r="C45" s="550"/>
      <c r="D45" s="547"/>
      <c r="E45" s="547"/>
      <c r="F45" s="547"/>
      <c r="G45" s="547"/>
    </row>
    <row r="46" spans="1:11" x14ac:dyDescent="0.25">
      <c r="A46" s="527" t="s">
        <v>291</v>
      </c>
      <c r="B46" s="834">
        <f>SUM(Sample_Y1!$I$58:$I$60)+'Sample_Y1-5 SUMMARY'!B21</f>
        <v>73575</v>
      </c>
      <c r="C46" s="544">
        <f>IF(AND($B$56&gt;1,$E$58="Yes"),$B$46,IF(AND($B$56&gt;1, $E$58="No"),SUM(Sample_Y2!$I$58:$I$60+C21),IF(AND($B$56&gt;1, $E$58="Yes, except for equipment in Year 1."),$B$46, " ")))</f>
        <v>73575</v>
      </c>
      <c r="D46" s="544">
        <f>IF(AND($B$56&gt;2,$E$58="Yes"),$B$46,IF(AND($B$56&gt;2, $E$58="No"),SUM(Sample_Y3!$I$58:$I$60+D21),IF(AND($B$56&gt;2, $E$58="Yes, except for equipment in Year 1."),$B$46, " ")))</f>
        <v>73575</v>
      </c>
      <c r="E46" s="544">
        <f>IF(AND($B$56&gt;3,$E$58="Yes"),$B$46,IF(AND($B$56&gt;3, $E$58="No"),SUM(Sample_Y4!$I$58:$I$60+E21),IF(AND($B$56&gt;3, $E$58="Yes, except for equipment in Year 1."),$B$46, " ")))</f>
        <v>73575</v>
      </c>
      <c r="F46" s="544">
        <f>IF(AND($B$56&gt;4,$E$58="Yes"),$B$46,IF(AND($B$56&gt;4, $E$58="No"),SUM(Sample_Y5!$I$58:$I$60+F21),IF(AND($B$56&gt;4, $E$58="Yes, except for equipment in Year 1."),$B$46, " ")))</f>
        <v>73575</v>
      </c>
      <c r="G46" s="552">
        <f>SUM(B46:F46)</f>
        <v>367875</v>
      </c>
      <c r="H46" s="574"/>
      <c r="I46" s="833" t="s">
        <v>410</v>
      </c>
    </row>
    <row r="47" spans="1:11" x14ac:dyDescent="0.25">
      <c r="A47" s="527"/>
      <c r="B47" s="550"/>
      <c r="C47" s="551"/>
      <c r="D47" s="551"/>
      <c r="E47" s="551"/>
      <c r="F47" s="551"/>
      <c r="G47" s="550"/>
      <c r="H47" s="574"/>
    </row>
    <row r="48" spans="1:11" x14ac:dyDescent="0.25">
      <c r="A48" s="527"/>
      <c r="B48" s="553"/>
      <c r="C48" s="553"/>
      <c r="D48" s="553"/>
      <c r="E48" s="553"/>
      <c r="F48" s="553"/>
      <c r="G48" s="553"/>
    </row>
    <row r="49" spans="1:12" x14ac:dyDescent="0.25">
      <c r="A49" s="527"/>
      <c r="B49" s="553"/>
      <c r="C49" s="553"/>
      <c r="D49" s="553"/>
      <c r="E49" s="553"/>
      <c r="F49" s="553"/>
      <c r="G49" s="553"/>
    </row>
    <row r="50" spans="1:12" ht="14.4" x14ac:dyDescent="0.25">
      <c r="A50" s="537"/>
      <c r="B50" s="545"/>
      <c r="C50" s="545"/>
      <c r="D50" s="545"/>
      <c r="E50" s="545"/>
      <c r="F50" s="545"/>
      <c r="G50" s="545"/>
    </row>
    <row r="51" spans="1:12" ht="14.4" x14ac:dyDescent="0.25">
      <c r="A51" s="537" t="s">
        <v>503</v>
      </c>
      <c r="B51" s="545"/>
      <c r="C51" s="545"/>
      <c r="D51" s="545"/>
      <c r="E51" s="545"/>
      <c r="F51" s="545"/>
      <c r="G51" s="545"/>
    </row>
    <row r="52" spans="1:12" ht="14.4" x14ac:dyDescent="0.25">
      <c r="A52" s="537"/>
      <c r="B52" s="545"/>
      <c r="C52" s="545"/>
      <c r="D52" s="545"/>
      <c r="E52" s="545"/>
      <c r="F52" s="545"/>
      <c r="G52" s="545"/>
    </row>
    <row r="53" spans="1:12" ht="14.4" x14ac:dyDescent="0.25">
      <c r="A53" s="537" t="s">
        <v>314</v>
      </c>
      <c r="B53" s="545"/>
      <c r="C53" s="545"/>
      <c r="D53" s="545"/>
      <c r="E53" s="545"/>
      <c r="F53" s="545"/>
      <c r="G53" s="545"/>
    </row>
    <row r="54" spans="1:12" x14ac:dyDescent="0.25">
      <c r="A54" s="527"/>
      <c r="B54" s="545"/>
      <c r="C54" s="545"/>
      <c r="D54" s="545"/>
      <c r="E54" s="545"/>
      <c r="F54" s="545"/>
      <c r="G54" s="545"/>
    </row>
    <row r="55" spans="1:12" hidden="1" x14ac:dyDescent="0.25">
      <c r="A55" s="538" t="s">
        <v>476</v>
      </c>
      <c r="B55" s="541"/>
      <c r="C55" s="541"/>
      <c r="D55" s="541"/>
      <c r="E55" s="541"/>
      <c r="F55" s="541"/>
      <c r="G55" s="541"/>
      <c r="H55" s="578"/>
    </row>
    <row r="56" spans="1:12" hidden="1" x14ac:dyDescent="0.25">
      <c r="A56" s="539" t="s">
        <v>115</v>
      </c>
      <c r="B56" s="554">
        <f>Sample_SetUp!C8</f>
        <v>5</v>
      </c>
      <c r="C56" s="541"/>
      <c r="D56" s="541"/>
      <c r="E56" s="541"/>
      <c r="F56" s="541"/>
      <c r="G56" s="541"/>
      <c r="H56" s="541"/>
    </row>
    <row r="57" spans="1:12" hidden="1" x14ac:dyDescent="0.25">
      <c r="A57" s="476"/>
      <c r="B57" s="555"/>
      <c r="C57" s="556"/>
      <c r="D57" s="556"/>
      <c r="E57" s="556"/>
      <c r="F57" s="556"/>
      <c r="G57" s="556"/>
      <c r="H57" s="556"/>
    </row>
    <row r="58" spans="1:12" hidden="1" x14ac:dyDescent="0.25">
      <c r="A58" s="874" t="s">
        <v>405</v>
      </c>
      <c r="B58" s="541"/>
      <c r="C58" s="541"/>
      <c r="D58" s="541"/>
      <c r="E58" s="1535" t="str">
        <f>Sample_SetUp!G11</f>
        <v>Yes, except for equipment in Year 1.</v>
      </c>
      <c r="F58" s="1536"/>
      <c r="G58" s="1537"/>
      <c r="H58" s="578"/>
      <c r="L58" s="892"/>
    </row>
    <row r="59" spans="1:12" hidden="1" x14ac:dyDescent="0.25">
      <c r="A59" s="522"/>
      <c r="B59" s="556"/>
      <c r="C59" s="556"/>
      <c r="D59" s="556"/>
      <c r="E59" s="556"/>
      <c r="F59" s="535"/>
      <c r="G59" s="556"/>
      <c r="H59" s="579"/>
    </row>
    <row r="60" spans="1:12" hidden="1" x14ac:dyDescent="0.25">
      <c r="A60" s="539" t="s">
        <v>284</v>
      </c>
      <c r="B60" s="557" t="str">
        <f>Sample_Y1!C113</f>
        <v>Yes</v>
      </c>
      <c r="C60" s="541"/>
      <c r="D60" s="541"/>
      <c r="E60" s="541"/>
      <c r="F60" s="541"/>
      <c r="G60" s="541"/>
      <c r="H60" s="578"/>
    </row>
    <row r="61" spans="1:12" hidden="1" x14ac:dyDescent="0.25">
      <c r="A61" s="527"/>
      <c r="B61" s="545"/>
      <c r="C61" s="545"/>
      <c r="D61" s="545"/>
      <c r="E61" s="545"/>
      <c r="F61" s="545"/>
      <c r="G61" s="545"/>
    </row>
    <row r="62" spans="1:12" hidden="1" x14ac:dyDescent="0.25">
      <c r="A62" s="538" t="s">
        <v>285</v>
      </c>
      <c r="B62" s="559" t="s">
        <v>475</v>
      </c>
      <c r="C62" s="559" t="s">
        <v>486</v>
      </c>
      <c r="D62" s="559" t="s">
        <v>484</v>
      </c>
      <c r="E62" s="559" t="s">
        <v>481</v>
      </c>
      <c r="F62" s="559" t="s">
        <v>479</v>
      </c>
      <c r="G62" s="541"/>
      <c r="H62" s="578"/>
    </row>
    <row r="63" spans="1:12" hidden="1" x14ac:dyDescent="0.25">
      <c r="A63" s="539" t="s">
        <v>220</v>
      </c>
      <c r="B63" s="541"/>
      <c r="C63" s="541"/>
      <c r="D63" s="541"/>
      <c r="E63" s="541"/>
      <c r="F63" s="541"/>
      <c r="G63" s="541"/>
      <c r="H63" s="580"/>
    </row>
    <row r="64" spans="1:12" hidden="1" x14ac:dyDescent="0.25">
      <c r="A64" s="874"/>
      <c r="B64" s="558" t="str">
        <f>Sample_Y1!I188</f>
        <v>No</v>
      </c>
      <c r="C64" s="558" t="str">
        <f>Sample_Y2!I197</f>
        <v>No</v>
      </c>
      <c r="D64" s="558" t="str">
        <f>Sample_Y3!I197</f>
        <v>No</v>
      </c>
      <c r="E64" s="558" t="str">
        <f>Sample_Y4!I197</f>
        <v>No</v>
      </c>
      <c r="F64" s="558" t="str">
        <f>Sample_Y5!I197</f>
        <v>No</v>
      </c>
      <c r="G64" s="541"/>
      <c r="H64" s="578"/>
    </row>
    <row r="65" spans="1:31" hidden="1" x14ac:dyDescent="0.25">
      <c r="A65" s="527"/>
      <c r="B65" s="545"/>
      <c r="C65" s="545"/>
      <c r="D65" s="545"/>
      <c r="E65" s="545"/>
      <c r="F65" s="545"/>
      <c r="G65" s="545"/>
    </row>
    <row r="66" spans="1:31" hidden="1" x14ac:dyDescent="0.25">
      <c r="A66" s="874"/>
      <c r="B66" s="559" t="s">
        <v>475</v>
      </c>
      <c r="C66" s="541"/>
      <c r="D66" s="541"/>
      <c r="E66" s="541"/>
      <c r="F66" s="541"/>
      <c r="G66" s="560" t="s">
        <v>267</v>
      </c>
      <c r="H66" s="578"/>
    </row>
    <row r="67" spans="1:31" s="867" customFormat="1" ht="14.4" hidden="1" x14ac:dyDescent="0.3">
      <c r="A67" s="539" t="s">
        <v>304</v>
      </c>
      <c r="B67" s="554" t="str">
        <f>Sample_Y1!C136</f>
        <v>Yes</v>
      </c>
      <c r="C67" s="541"/>
      <c r="D67" s="561"/>
      <c r="E67" s="561"/>
      <c r="F67" s="561"/>
      <c r="G67" s="561"/>
      <c r="H67" s="581"/>
      <c r="I67" s="326"/>
      <c r="J67" s="326"/>
      <c r="K67" s="326"/>
      <c r="L67" s="582"/>
      <c r="M67" s="582"/>
      <c r="N67" s="866"/>
      <c r="O67" s="866"/>
      <c r="P67" s="866"/>
      <c r="Q67" s="866"/>
      <c r="R67" s="866"/>
      <c r="S67" s="866"/>
      <c r="T67" s="866"/>
      <c r="U67" s="866"/>
      <c r="V67" s="866"/>
      <c r="W67" s="866"/>
      <c r="X67" s="866"/>
      <c r="Y67" s="866"/>
      <c r="Z67" s="868"/>
      <c r="AA67" s="873"/>
      <c r="AD67" s="873"/>
      <c r="AE67" s="873"/>
    </row>
    <row r="68" spans="1:31" s="867" customFormat="1" hidden="1" x14ac:dyDescent="0.25">
      <c r="A68" s="539" t="s">
        <v>69</v>
      </c>
      <c r="B68" s="539"/>
      <c r="C68" s="541"/>
      <c r="D68" s="561"/>
      <c r="E68" s="561"/>
      <c r="F68" s="561"/>
      <c r="G68" s="561"/>
      <c r="H68" s="561"/>
      <c r="I68" s="326"/>
      <c r="J68" s="326"/>
      <c r="K68" s="326"/>
      <c r="L68" s="522"/>
      <c r="M68" s="522"/>
      <c r="N68" s="866"/>
      <c r="O68" s="866"/>
      <c r="P68" s="866"/>
      <c r="Q68" s="866"/>
      <c r="R68" s="866"/>
      <c r="S68" s="866"/>
      <c r="T68" s="866"/>
      <c r="U68" s="866"/>
      <c r="V68" s="866"/>
      <c r="W68" s="866"/>
      <c r="X68" s="866"/>
      <c r="Y68" s="866"/>
      <c r="Z68" s="868"/>
      <c r="AA68" s="873"/>
      <c r="AD68" s="873"/>
      <c r="AE68" s="873"/>
    </row>
    <row r="69" spans="1:31" s="867" customFormat="1" hidden="1" x14ac:dyDescent="0.25">
      <c r="A69" s="539" t="s">
        <v>106</v>
      </c>
      <c r="B69" s="539"/>
      <c r="C69" s="561"/>
      <c r="D69" s="561"/>
      <c r="E69" s="561"/>
      <c r="F69" s="561"/>
      <c r="G69" s="561"/>
      <c r="H69" s="561"/>
      <c r="I69" s="326"/>
      <c r="J69" s="326"/>
      <c r="K69" s="326"/>
      <c r="L69" s="522"/>
      <c r="M69" s="522"/>
      <c r="N69" s="866"/>
      <c r="O69" s="866"/>
      <c r="P69" s="866"/>
      <c r="Q69" s="866"/>
      <c r="R69" s="866"/>
      <c r="S69" s="866"/>
      <c r="T69" s="866"/>
      <c r="U69" s="866"/>
      <c r="V69" s="866"/>
      <c r="W69" s="866"/>
      <c r="X69" s="866"/>
      <c r="Y69" s="866"/>
      <c r="Z69" s="868"/>
      <c r="AA69" s="873"/>
      <c r="AD69" s="873"/>
      <c r="AE69" s="873"/>
    </row>
    <row r="70" spans="1:31" hidden="1" x14ac:dyDescent="0.25">
      <c r="A70" s="541"/>
      <c r="B70" s="541" t="s">
        <v>305</v>
      </c>
      <c r="C70" s="541"/>
      <c r="D70" s="541"/>
      <c r="E70" s="541"/>
      <c r="F70" s="541"/>
      <c r="G70" s="541"/>
      <c r="H70" s="578"/>
    </row>
    <row r="71" spans="1:31" hidden="1" x14ac:dyDescent="0.25">
      <c r="A71" s="538" t="s">
        <v>303</v>
      </c>
      <c r="B71" s="562">
        <f>SUM(Sample_Y1!K142:K167)</f>
        <v>25000</v>
      </c>
      <c r="C71" s="541"/>
      <c r="D71" s="541"/>
      <c r="E71" s="541"/>
      <c r="F71" s="541"/>
      <c r="G71" s="541"/>
      <c r="H71" s="578"/>
    </row>
    <row r="72" spans="1:31" hidden="1" x14ac:dyDescent="0.25">
      <c r="A72" s="527"/>
      <c r="B72" s="545"/>
      <c r="C72" s="545"/>
      <c r="D72" s="545"/>
      <c r="E72" s="545"/>
      <c r="F72" s="545"/>
      <c r="G72" s="545"/>
    </row>
    <row r="73" spans="1:31" hidden="1" x14ac:dyDescent="0.25">
      <c r="A73" s="874"/>
      <c r="B73" s="559" t="s">
        <v>475</v>
      </c>
      <c r="C73" s="541"/>
      <c r="D73" s="541"/>
      <c r="E73" s="541"/>
      <c r="F73" s="541"/>
      <c r="G73" s="541"/>
      <c r="H73" s="541"/>
      <c r="I73" s="541"/>
      <c r="J73" s="541"/>
      <c r="K73" s="580"/>
      <c r="L73" s="560" t="s">
        <v>306</v>
      </c>
      <c r="M73" s="560"/>
      <c r="N73" s="561"/>
      <c r="O73" s="561"/>
      <c r="P73" s="561"/>
      <c r="Q73" s="561"/>
      <c r="R73" s="561"/>
    </row>
    <row r="74" spans="1:31" s="867" customFormat="1" hidden="1" x14ac:dyDescent="0.25">
      <c r="A74" s="539" t="s">
        <v>304</v>
      </c>
      <c r="B74" s="554" t="str">
        <f>Sample_Y1!C170</f>
        <v>No</v>
      </c>
      <c r="C74" s="561"/>
      <c r="D74" s="561"/>
      <c r="E74" s="561"/>
      <c r="F74" s="561"/>
      <c r="G74" s="561"/>
      <c r="H74" s="561"/>
      <c r="I74" s="561"/>
      <c r="J74" s="561"/>
      <c r="K74" s="561"/>
      <c r="L74" s="561"/>
      <c r="M74" s="561"/>
      <c r="N74" s="561"/>
      <c r="O74" s="561"/>
      <c r="P74" s="561"/>
      <c r="Q74" s="561"/>
      <c r="R74" s="561"/>
      <c r="S74" s="866"/>
      <c r="T74" s="866"/>
      <c r="U74" s="866"/>
      <c r="V74" s="866"/>
      <c r="W74" s="866"/>
      <c r="X74" s="866"/>
      <c r="Y74" s="866"/>
      <c r="Z74" s="868"/>
      <c r="AA74" s="873"/>
      <c r="AD74" s="873"/>
      <c r="AE74" s="873"/>
    </row>
    <row r="75" spans="1:31" s="867" customFormat="1" hidden="1" x14ac:dyDescent="0.25">
      <c r="A75" s="539" t="s">
        <v>127</v>
      </c>
      <c r="B75" s="539"/>
      <c r="C75" s="561"/>
      <c r="D75" s="561"/>
      <c r="E75" s="561"/>
      <c r="F75" s="561"/>
      <c r="G75" s="561"/>
      <c r="H75" s="561"/>
      <c r="I75" s="561"/>
      <c r="J75" s="561"/>
      <c r="K75" s="561"/>
      <c r="L75" s="561"/>
      <c r="M75" s="561"/>
      <c r="N75" s="561"/>
      <c r="O75" s="561"/>
      <c r="P75" s="561"/>
      <c r="Q75" s="561"/>
      <c r="R75" s="561"/>
      <c r="S75" s="866"/>
      <c r="T75" s="866"/>
      <c r="U75" s="866"/>
      <c r="V75" s="866"/>
      <c r="W75" s="866"/>
      <c r="X75" s="866"/>
      <c r="Y75" s="866"/>
      <c r="Z75" s="868"/>
      <c r="AA75" s="873"/>
      <c r="AD75" s="873"/>
      <c r="AE75" s="873"/>
    </row>
    <row r="76" spans="1:31" s="867" customFormat="1" hidden="1" x14ac:dyDescent="0.25">
      <c r="A76" s="539" t="s">
        <v>128</v>
      </c>
      <c r="B76" s="539"/>
      <c r="C76" s="561"/>
      <c r="D76" s="561"/>
      <c r="E76" s="561"/>
      <c r="F76" s="561"/>
      <c r="G76" s="561"/>
      <c r="H76" s="1533" t="s">
        <v>486</v>
      </c>
      <c r="I76" s="1533"/>
      <c r="J76" s="561"/>
      <c r="K76" s="1534" t="s">
        <v>484</v>
      </c>
      <c r="L76" s="1534"/>
      <c r="M76" s="583"/>
      <c r="N76" s="1533" t="s">
        <v>481</v>
      </c>
      <c r="O76" s="1533"/>
      <c r="P76" s="561"/>
      <c r="Q76" s="1533" t="s">
        <v>479</v>
      </c>
      <c r="R76" s="1533"/>
      <c r="S76" s="866"/>
      <c r="T76" s="866"/>
      <c r="U76" s="866"/>
      <c r="V76" s="866"/>
      <c r="W76" s="866"/>
      <c r="X76" s="866"/>
      <c r="Y76" s="866"/>
      <c r="Z76" s="868"/>
      <c r="AA76" s="873"/>
      <c r="AD76" s="873"/>
      <c r="AE76" s="873"/>
    </row>
    <row r="77" spans="1:31" ht="27.6" hidden="1" x14ac:dyDescent="0.25">
      <c r="A77" s="542" t="s">
        <v>229</v>
      </c>
      <c r="B77" s="563" t="s">
        <v>454</v>
      </c>
      <c r="C77" s="561" t="s">
        <v>487</v>
      </c>
      <c r="D77" s="561" t="s">
        <v>485</v>
      </c>
      <c r="E77" s="561" t="s">
        <v>482</v>
      </c>
      <c r="F77" s="561" t="s">
        <v>480</v>
      </c>
      <c r="G77" s="913" t="s">
        <v>4</v>
      </c>
      <c r="H77" s="584" t="s">
        <v>488</v>
      </c>
      <c r="I77" s="585" t="s">
        <v>187</v>
      </c>
      <c r="J77" s="585"/>
      <c r="K77" s="586" t="s">
        <v>477</v>
      </c>
      <c r="L77" s="586" t="s">
        <v>187</v>
      </c>
      <c r="M77" s="586"/>
      <c r="N77" s="584" t="s">
        <v>483</v>
      </c>
      <c r="O77" s="586" t="s">
        <v>187</v>
      </c>
      <c r="P77" s="913"/>
      <c r="Q77" s="584" t="s">
        <v>478</v>
      </c>
      <c r="R77" s="586" t="s">
        <v>187</v>
      </c>
    </row>
    <row r="78" spans="1:31" ht="14.4" hidden="1" x14ac:dyDescent="0.25">
      <c r="A78" s="543" t="s">
        <v>232</v>
      </c>
      <c r="B78" s="565">
        <f>Sample_Y1!K174</f>
        <v>0</v>
      </c>
      <c r="C78" s="565">
        <f>IF($B$56&gt;1,B78," ")</f>
        <v>0</v>
      </c>
      <c r="D78" s="565">
        <f>IF($B$56&gt;2,C78," ")</f>
        <v>0</v>
      </c>
      <c r="E78" s="565">
        <f>IF($B$56&gt;3,D78," ")</f>
        <v>0</v>
      </c>
      <c r="F78" s="565">
        <f>IF($B$56&gt;4,E78," ")</f>
        <v>0</v>
      </c>
      <c r="G78" s="566">
        <f>SUM(B78:F78)</f>
        <v>0</v>
      </c>
      <c r="H78" s="566">
        <f>SUM(B78:C78)</f>
        <v>0</v>
      </c>
      <c r="I78" s="587">
        <f>IF(H78&gt;25000, 25000-B78, C78)</f>
        <v>0</v>
      </c>
      <c r="J78" s="587"/>
      <c r="K78" s="568">
        <f>SUM(B78:D78)</f>
        <v>0</v>
      </c>
      <c r="L78" s="587">
        <f>IF(AND(H78&lt;25000,K78&gt;25000,D78&gt;H78),25000-H78,IF(AND(H78&lt;25000,D78&lt;25000),D78,0))</f>
        <v>0</v>
      </c>
      <c r="M78" s="587"/>
      <c r="N78" s="566">
        <f>SUM(B78:E78)</f>
        <v>0</v>
      </c>
      <c r="O78" s="588">
        <f>IF(AND(N78&lt;25000,M78&gt;25000,L78&gt;N78),25000-N78,IF(AND(N78&lt;25000,L78&lt;25000),L78, 0))</f>
        <v>0</v>
      </c>
      <c r="P78" s="561"/>
      <c r="Q78" s="568">
        <f>SUM(B78:F78)</f>
        <v>0</v>
      </c>
      <c r="R78" s="541">
        <f>IF(AND(N78&lt;25000,Q78&gt;25000,F78&gt;N78),25000-N78,IF(AND(N78&lt;25000,F78&lt;25000),F78, 0))</f>
        <v>0</v>
      </c>
    </row>
    <row r="79" spans="1:31" ht="14.4" hidden="1" x14ac:dyDescent="0.25">
      <c r="A79" s="543" t="s">
        <v>233</v>
      </c>
      <c r="B79" s="565">
        <f>Sample_Y1!K175</f>
        <v>0</v>
      </c>
      <c r="C79" s="565">
        <f>IF($B$56&gt;1,B79," ")</f>
        <v>0</v>
      </c>
      <c r="D79" s="565">
        <f>IF($B$56&gt;2,C79," ")</f>
        <v>0</v>
      </c>
      <c r="E79" s="565">
        <f>IF($B$56&gt;3,D79," ")</f>
        <v>0</v>
      </c>
      <c r="F79" s="565">
        <f>IF($B$56&gt;4,E79," ")</f>
        <v>0</v>
      </c>
      <c r="G79" s="566">
        <f>SUM(B79:F79)</f>
        <v>0</v>
      </c>
      <c r="H79" s="566">
        <f>SUM(B79:C79)</f>
        <v>0</v>
      </c>
      <c r="I79" s="587">
        <f>IF(H79&gt;25000, 25000-B79, C79)</f>
        <v>0</v>
      </c>
      <c r="J79" s="587"/>
      <c r="K79" s="568">
        <f>SUM(B79:D79)</f>
        <v>0</v>
      </c>
      <c r="L79" s="587">
        <f>IF(AND(H79&lt;25000,K79&gt;25000,D79&gt;H79),25000-H79,IF(AND(H79&lt;25000,D79&lt;25000),D79,0))</f>
        <v>0</v>
      </c>
      <c r="M79" s="587"/>
      <c r="N79" s="566">
        <f>SUM(B79:E79)</f>
        <v>0</v>
      </c>
      <c r="O79" s="588">
        <f>IF(AND(N79&lt;25000,M79&gt;25000,L79&gt;N79),25000-N79,IF(AND(N79&lt;25000,L79&lt;25000),L79, 0))</f>
        <v>0</v>
      </c>
      <c r="P79" s="561"/>
      <c r="Q79" s="568">
        <f>SUM(B79:F79)</f>
        <v>0</v>
      </c>
      <c r="R79" s="541">
        <f>IF(AND(N79&lt;25000,Q79&gt;25000,F79&gt;N79),25000-N79,IF(AND(N79&lt;25000,F79&lt;25000),F79, 0))</f>
        <v>0</v>
      </c>
    </row>
    <row r="80" spans="1:31" hidden="1" x14ac:dyDescent="0.25">
      <c r="A80" s="874" t="s">
        <v>307</v>
      </c>
      <c r="B80" s="567">
        <f>SUM(B78:B79)</f>
        <v>0</v>
      </c>
      <c r="C80" s="567">
        <f t="shared" ref="C80:I80" si="2">SUM(C78:C79)</f>
        <v>0</v>
      </c>
      <c r="D80" s="567">
        <f t="shared" si="2"/>
        <v>0</v>
      </c>
      <c r="E80" s="567">
        <f t="shared" si="2"/>
        <v>0</v>
      </c>
      <c r="F80" s="567">
        <f t="shared" si="2"/>
        <v>0</v>
      </c>
      <c r="G80" s="568">
        <f t="shared" si="2"/>
        <v>0</v>
      </c>
      <c r="H80" s="568">
        <f t="shared" si="2"/>
        <v>0</v>
      </c>
      <c r="I80" s="567">
        <f t="shared" si="2"/>
        <v>0</v>
      </c>
      <c r="J80" s="568"/>
      <c r="K80" s="568">
        <f t="shared" ref="K80:R80" si="3">SUM(K78:K79)</f>
        <v>0</v>
      </c>
      <c r="L80" s="568">
        <f t="shared" si="3"/>
        <v>0</v>
      </c>
      <c r="M80" s="568">
        <f t="shared" si="3"/>
        <v>0</v>
      </c>
      <c r="N80" s="568">
        <f t="shared" si="3"/>
        <v>0</v>
      </c>
      <c r="O80" s="567">
        <f t="shared" si="3"/>
        <v>0</v>
      </c>
      <c r="P80" s="561"/>
      <c r="Q80" s="567">
        <f t="shared" si="3"/>
        <v>0</v>
      </c>
      <c r="R80" s="567">
        <f t="shared" si="3"/>
        <v>0</v>
      </c>
    </row>
    <row r="81" spans="1:26" s="66" customFormat="1" hidden="1" x14ac:dyDescent="0.25">
      <c r="A81" s="874"/>
      <c r="B81" s="541"/>
      <c r="C81" s="541"/>
      <c r="D81" s="541"/>
      <c r="E81" s="541"/>
      <c r="F81" s="541"/>
      <c r="G81" s="541"/>
      <c r="H81" s="578"/>
      <c r="I81" s="578"/>
      <c r="J81" s="578"/>
      <c r="K81" s="589" t="s">
        <v>308</v>
      </c>
      <c r="L81" s="567">
        <f>I80-L80</f>
        <v>0</v>
      </c>
      <c r="M81" s="567"/>
      <c r="N81" s="589" t="s">
        <v>308</v>
      </c>
      <c r="O81" s="567">
        <f>L80-O80</f>
        <v>0</v>
      </c>
      <c r="P81" s="541"/>
      <c r="Q81" s="589" t="s">
        <v>308</v>
      </c>
      <c r="R81" s="567">
        <f>O80-R80</f>
        <v>0</v>
      </c>
      <c r="S81" s="541"/>
      <c r="T81" s="541"/>
      <c r="U81" s="541"/>
      <c r="V81" s="541"/>
      <c r="W81" s="541"/>
      <c r="X81" s="541"/>
      <c r="Y81" s="541"/>
      <c r="Z81" s="541"/>
    </row>
    <row r="82" spans="1:26" hidden="1" x14ac:dyDescent="0.25">
      <c r="A82" s="527"/>
      <c r="B82" s="527"/>
      <c r="C82" s="545"/>
      <c r="D82" s="545"/>
      <c r="E82" s="545"/>
      <c r="F82" s="545"/>
      <c r="G82" s="545"/>
    </row>
    <row r="83" spans="1:26" x14ac:dyDescent="0.25">
      <c r="A83" s="527"/>
      <c r="B83" s="545"/>
      <c r="C83" s="545"/>
      <c r="D83" s="545"/>
      <c r="E83" s="545"/>
      <c r="F83" s="545"/>
      <c r="G83" s="545"/>
    </row>
    <row r="84" spans="1:26" x14ac:dyDescent="0.25">
      <c r="A84" s="527"/>
      <c r="B84" s="545"/>
      <c r="C84" s="545"/>
      <c r="D84" s="545"/>
      <c r="E84" s="545"/>
      <c r="F84" s="545"/>
      <c r="G84" s="545"/>
    </row>
    <row r="85" spans="1:26" x14ac:dyDescent="0.25">
      <c r="A85" s="527"/>
      <c r="B85" s="545"/>
      <c r="C85" s="545"/>
      <c r="D85" s="545"/>
      <c r="E85" s="545"/>
      <c r="F85" s="545"/>
      <c r="G85" s="545"/>
    </row>
    <row r="86" spans="1:26" x14ac:dyDescent="0.25">
      <c r="A86" s="527"/>
      <c r="B86" s="545"/>
      <c r="C86" s="545"/>
      <c r="D86" s="545"/>
      <c r="E86" s="545"/>
      <c r="F86" s="545"/>
      <c r="G86" s="545"/>
    </row>
    <row r="87" spans="1:26" x14ac:dyDescent="0.25">
      <c r="A87" s="527"/>
      <c r="B87" s="545"/>
      <c r="C87" s="545"/>
      <c r="D87" s="545"/>
      <c r="E87" s="545"/>
      <c r="F87" s="545"/>
      <c r="G87" s="545"/>
    </row>
    <row r="88" spans="1:26" x14ac:dyDescent="0.25">
      <c r="A88" s="527"/>
      <c r="B88" s="545"/>
      <c r="C88" s="545"/>
      <c r="D88" s="545"/>
      <c r="E88" s="545"/>
      <c r="F88" s="545"/>
      <c r="G88" s="545"/>
    </row>
    <row r="89" spans="1:26" x14ac:dyDescent="0.25">
      <c r="A89" s="527"/>
      <c r="B89" s="545"/>
      <c r="C89" s="545"/>
      <c r="D89" s="545"/>
      <c r="E89" s="545"/>
      <c r="F89" s="545"/>
      <c r="G89" s="545"/>
    </row>
    <row r="90" spans="1:26" x14ac:dyDescent="0.25">
      <c r="A90" s="527"/>
      <c r="B90" s="545"/>
      <c r="C90" s="545"/>
      <c r="D90" s="545"/>
      <c r="E90" s="545"/>
      <c r="F90" s="545"/>
      <c r="G90" s="545"/>
    </row>
    <row r="91" spans="1:26" x14ac:dyDescent="0.25">
      <c r="A91" s="527"/>
      <c r="B91" s="545"/>
      <c r="C91" s="545"/>
      <c r="D91" s="545"/>
      <c r="E91" s="545"/>
      <c r="F91" s="545"/>
      <c r="G91" s="545"/>
    </row>
    <row r="92" spans="1:26" x14ac:dyDescent="0.25">
      <c r="A92" s="527"/>
      <c r="B92" s="545"/>
      <c r="C92" s="545"/>
      <c r="D92" s="545"/>
      <c r="E92" s="545"/>
      <c r="F92" s="545"/>
      <c r="G92" s="545"/>
    </row>
    <row r="93" spans="1:26" x14ac:dyDescent="0.25">
      <c r="A93" s="527"/>
      <c r="B93" s="545"/>
      <c r="C93" s="545"/>
      <c r="D93" s="545"/>
      <c r="E93" s="545"/>
      <c r="F93" s="545"/>
      <c r="G93" s="545"/>
    </row>
    <row r="94" spans="1:26" x14ac:dyDescent="0.25">
      <c r="A94" s="527"/>
      <c r="B94" s="545"/>
      <c r="C94" s="545"/>
      <c r="D94" s="545"/>
      <c r="E94" s="545"/>
      <c r="F94" s="545"/>
      <c r="G94" s="545"/>
    </row>
    <row r="95" spans="1:26" x14ac:dyDescent="0.25">
      <c r="A95" s="527"/>
      <c r="B95" s="545"/>
      <c r="C95" s="545"/>
      <c r="D95" s="545"/>
      <c r="E95" s="545"/>
      <c r="F95" s="545"/>
      <c r="G95" s="545"/>
    </row>
    <row r="96" spans="1:26" x14ac:dyDescent="0.25">
      <c r="A96" s="527"/>
      <c r="B96" s="545"/>
      <c r="C96" s="545"/>
      <c r="D96" s="545"/>
      <c r="E96" s="545"/>
      <c r="F96" s="545"/>
      <c r="G96" s="545"/>
    </row>
    <row r="97" spans="1:7" x14ac:dyDescent="0.25">
      <c r="A97" s="527"/>
      <c r="B97" s="545"/>
      <c r="C97" s="545"/>
      <c r="D97" s="545"/>
      <c r="E97" s="545"/>
      <c r="F97" s="545"/>
      <c r="G97" s="545"/>
    </row>
    <row r="98" spans="1:7" x14ac:dyDescent="0.25">
      <c r="A98" s="527"/>
      <c r="B98" s="545"/>
      <c r="C98" s="545"/>
      <c r="D98" s="545"/>
      <c r="E98" s="545"/>
      <c r="F98" s="545"/>
      <c r="G98" s="545"/>
    </row>
    <row r="99" spans="1:7" x14ac:dyDescent="0.25">
      <c r="A99" s="527"/>
      <c r="B99" s="545"/>
      <c r="C99" s="545"/>
      <c r="D99" s="545"/>
      <c r="E99" s="545"/>
      <c r="F99" s="545"/>
      <c r="G99" s="545"/>
    </row>
    <row r="100" spans="1:7" x14ac:dyDescent="0.25">
      <c r="A100" s="527"/>
      <c r="B100" s="545"/>
      <c r="C100" s="545"/>
      <c r="D100" s="545"/>
      <c r="E100" s="545"/>
      <c r="F100" s="545"/>
      <c r="G100" s="545"/>
    </row>
    <row r="101" spans="1:7" x14ac:dyDescent="0.25">
      <c r="A101" s="527"/>
      <c r="B101" s="545"/>
      <c r="C101" s="545"/>
      <c r="D101" s="545"/>
      <c r="E101" s="545"/>
      <c r="F101" s="545"/>
      <c r="G101" s="545"/>
    </row>
    <row r="102" spans="1:7" x14ac:dyDescent="0.25">
      <c r="A102" s="527"/>
      <c r="B102" s="545"/>
      <c r="C102" s="545"/>
      <c r="D102" s="545"/>
      <c r="E102" s="545"/>
      <c r="F102" s="545"/>
      <c r="G102" s="545"/>
    </row>
    <row r="103" spans="1:7" x14ac:dyDescent="0.25">
      <c r="A103" s="527"/>
      <c r="B103" s="545"/>
      <c r="C103" s="545"/>
      <c r="D103" s="545"/>
      <c r="E103" s="545"/>
      <c r="F103" s="545"/>
      <c r="G103" s="545"/>
    </row>
    <row r="104" spans="1:7" x14ac:dyDescent="0.25">
      <c r="A104" s="527"/>
      <c r="B104" s="545"/>
      <c r="C104" s="545"/>
      <c r="D104" s="545"/>
      <c r="E104" s="545"/>
      <c r="F104" s="545"/>
      <c r="G104" s="545"/>
    </row>
    <row r="105" spans="1:7" x14ac:dyDescent="0.25">
      <c r="A105" s="527"/>
      <c r="B105" s="545"/>
      <c r="C105" s="545"/>
      <c r="D105" s="545"/>
      <c r="E105" s="545"/>
      <c r="F105" s="545"/>
      <c r="G105" s="545"/>
    </row>
    <row r="106" spans="1:7" x14ac:dyDescent="0.25">
      <c r="A106" s="527"/>
      <c r="B106" s="545"/>
      <c r="C106" s="545"/>
      <c r="D106" s="545"/>
      <c r="E106" s="545"/>
      <c r="F106" s="545"/>
      <c r="G106" s="545"/>
    </row>
    <row r="107" spans="1:7" x14ac:dyDescent="0.25">
      <c r="B107" s="545"/>
      <c r="C107" s="545"/>
      <c r="D107" s="545"/>
      <c r="E107" s="545"/>
      <c r="F107" s="545"/>
      <c r="G107" s="545"/>
    </row>
  </sheetData>
  <sheetProtection password="EC4C" sheet="1" objects="1" scenarios="1" formatCells="0" formatColumns="0" formatRows="0" insertColumns="0" insertRows="0" insertHyperlinks="0" selectLockedCells="1" sort="0"/>
  <mergeCells count="6">
    <mergeCell ref="Q76:R76"/>
    <mergeCell ref="A37:G37"/>
    <mergeCell ref="E58:G58"/>
    <mergeCell ref="H76:I76"/>
    <mergeCell ref="K76:L76"/>
    <mergeCell ref="N76:O76"/>
  </mergeCells>
  <dataValidations disablePrompts="1" count="1">
    <dataValidation type="whole" operator="lessThanOrEqual" allowBlank="1" showInputMessage="1" showErrorMessage="1" sqref="B78:B79">
      <formula1>25000</formula1>
    </dataValidation>
  </dataValidations>
  <pageMargins left="0.5" right="0.5" top="0.25" bottom="0.25" header="0.3" footer="0.3"/>
  <pageSetup orientation="landscape"/>
  <headerFooter>
    <oddFooter>&amp;L&amp;"-,Regular"&amp;8ISMMS Grants and Contracts Office&amp;R&amp;"-,Regular"&amp;8rev. 9/14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309"/>
  <sheetViews>
    <sheetView zoomScale="75" zoomScaleNormal="75" zoomScalePageLayoutView="75" workbookViewId="0">
      <selection activeCell="F5" sqref="F5"/>
    </sheetView>
  </sheetViews>
  <sheetFormatPr defaultColWidth="9.109375" defaultRowHeight="14.4" x14ac:dyDescent="0.3"/>
  <cols>
    <col min="1" max="1" width="47.88671875" style="806" customWidth="1"/>
    <col min="2" max="2" width="15" style="806" customWidth="1"/>
    <col min="3" max="3" width="10.44140625" style="806" customWidth="1"/>
    <col min="4" max="4" width="10.44140625" style="806" bestFit="1" customWidth="1"/>
    <col min="5" max="5" width="9.109375" style="806"/>
    <col min="6" max="6" width="11" style="806" customWidth="1"/>
    <col min="7" max="16384" width="9.109375" style="27"/>
  </cols>
  <sheetData>
    <row r="1" spans="1:17" ht="15.6" x14ac:dyDescent="0.3">
      <c r="A1" s="1541" t="s">
        <v>315</v>
      </c>
      <c r="B1" s="1541"/>
      <c r="C1" s="1541"/>
      <c r="D1" s="1541"/>
      <c r="E1" s="1541"/>
      <c r="F1" s="1541"/>
      <c r="G1" s="54"/>
      <c r="H1" s="30"/>
      <c r="I1" s="30"/>
      <c r="J1" s="34"/>
      <c r="K1" s="34"/>
      <c r="L1" s="34"/>
      <c r="M1" s="34"/>
      <c r="N1" s="34"/>
      <c r="O1" s="34"/>
      <c r="P1" s="34"/>
      <c r="Q1" s="34"/>
    </row>
    <row r="2" spans="1:17" ht="12.75" customHeight="1" x14ac:dyDescent="0.35">
      <c r="A2" s="763"/>
      <c r="B2" s="763"/>
      <c r="C2" s="763"/>
      <c r="D2" s="763"/>
      <c r="E2" s="763"/>
      <c r="F2" s="763"/>
      <c r="G2" s="54"/>
      <c r="H2" s="30"/>
      <c r="I2" s="30"/>
      <c r="J2" s="34"/>
      <c r="K2" s="34"/>
      <c r="L2" s="34"/>
      <c r="M2" s="34"/>
      <c r="N2" s="34"/>
      <c r="O2" s="34"/>
      <c r="P2" s="34"/>
      <c r="Q2" s="34"/>
    </row>
    <row r="3" spans="1:17" ht="15.6" x14ac:dyDescent="0.3">
      <c r="A3" s="1542" t="s">
        <v>246</v>
      </c>
      <c r="B3" s="1543"/>
      <c r="C3" s="1543"/>
      <c r="D3" s="1543"/>
      <c r="E3" s="1543"/>
      <c r="F3" s="1544"/>
      <c r="G3" s="26"/>
      <c r="H3" s="26"/>
      <c r="I3" s="26"/>
    </row>
    <row r="4" spans="1:17" ht="15.6" x14ac:dyDescent="0.3">
      <c r="A4" s="764" t="s">
        <v>79</v>
      </c>
      <c r="B4" s="807">
        <v>33500</v>
      </c>
      <c r="C4" s="765"/>
      <c r="D4" s="766"/>
      <c r="E4" s="766"/>
      <c r="F4" s="1018" t="s">
        <v>518</v>
      </c>
      <c r="G4" s="26"/>
      <c r="H4" s="26"/>
      <c r="I4" s="26"/>
    </row>
    <row r="5" spans="1:17" x14ac:dyDescent="0.3">
      <c r="A5" s="764" t="s">
        <v>78</v>
      </c>
      <c r="B5" s="807">
        <v>4909</v>
      </c>
      <c r="C5" s="765"/>
      <c r="D5" s="766"/>
      <c r="E5" s="766"/>
      <c r="F5" s="767"/>
      <c r="G5" s="26"/>
      <c r="H5" s="26"/>
      <c r="I5" s="26"/>
    </row>
    <row r="6" spans="1:17" x14ac:dyDescent="0.3">
      <c r="A6" s="764" t="s">
        <v>241</v>
      </c>
      <c r="B6" s="808">
        <f>B7-B4-B5</f>
        <v>3591</v>
      </c>
      <c r="C6" s="765"/>
      <c r="D6" s="766"/>
      <c r="E6" s="766"/>
      <c r="F6" s="767"/>
      <c r="G6" s="26"/>
      <c r="H6" s="26"/>
      <c r="I6" s="26"/>
    </row>
    <row r="7" spans="1:17" x14ac:dyDescent="0.3">
      <c r="A7" s="764" t="s">
        <v>111</v>
      </c>
      <c r="B7" s="807">
        <v>42000</v>
      </c>
      <c r="C7" s="765"/>
      <c r="D7" s="766"/>
      <c r="E7" s="766"/>
      <c r="F7" s="767"/>
      <c r="G7" s="26"/>
      <c r="H7" s="26"/>
      <c r="I7" s="26"/>
    </row>
    <row r="8" spans="1:17" ht="138.75" customHeight="1" x14ac:dyDescent="0.3">
      <c r="A8" s="594"/>
      <c r="B8" s="768"/>
      <c r="C8" s="769"/>
      <c r="D8" s="770"/>
      <c r="E8" s="770"/>
      <c r="F8" s="770"/>
      <c r="G8" s="26"/>
      <c r="H8" s="26"/>
      <c r="I8" s="26"/>
    </row>
    <row r="9" spans="1:17" s="203" customFormat="1" x14ac:dyDescent="0.3">
      <c r="A9" s="1540" t="s">
        <v>117</v>
      </c>
      <c r="B9" s="1540"/>
      <c r="C9" s="1540"/>
      <c r="D9" s="1540"/>
      <c r="E9" s="1540"/>
      <c r="F9" s="1540"/>
      <c r="G9" s="26"/>
      <c r="H9" s="26"/>
      <c r="I9" s="26"/>
    </row>
    <row r="10" spans="1:17" s="203" customFormat="1" x14ac:dyDescent="0.3">
      <c r="A10" s="597" t="s">
        <v>109</v>
      </c>
      <c r="B10" s="784"/>
      <c r="C10" s="771"/>
      <c r="D10" s="772"/>
      <c r="E10" s="772"/>
      <c r="F10" s="772"/>
      <c r="G10" s="26"/>
      <c r="H10" s="26"/>
      <c r="I10" s="26"/>
    </row>
    <row r="11" spans="1:17" s="203" customFormat="1" x14ac:dyDescent="0.3">
      <c r="A11" s="593" t="s">
        <v>237</v>
      </c>
      <c r="B11" s="998"/>
      <c r="C11" s="598">
        <v>0.5</v>
      </c>
      <c r="D11" s="774"/>
      <c r="E11" s="774"/>
      <c r="F11" s="774"/>
      <c r="G11" s="30"/>
      <c r="H11" s="30"/>
      <c r="I11" s="30"/>
      <c r="J11" s="205"/>
      <c r="K11" s="205"/>
      <c r="L11" s="205"/>
      <c r="M11" s="205"/>
      <c r="N11" s="205"/>
      <c r="O11" s="205"/>
      <c r="P11" s="205"/>
      <c r="Q11" s="205"/>
    </row>
    <row r="12" spans="1:17" s="207" customFormat="1" x14ac:dyDescent="0.3">
      <c r="A12" s="592"/>
      <c r="B12" s="999"/>
      <c r="C12" s="592"/>
      <c r="D12" s="774"/>
      <c r="E12" s="774"/>
      <c r="F12" s="774"/>
      <c r="G12" s="30"/>
      <c r="H12" s="35"/>
      <c r="I12" s="35"/>
      <c r="J12" s="206"/>
      <c r="K12" s="206"/>
      <c r="L12" s="206"/>
      <c r="M12" s="206"/>
      <c r="N12" s="206"/>
      <c r="O12" s="206"/>
      <c r="P12" s="206"/>
      <c r="Q12" s="206"/>
    </row>
    <row r="13" spans="1:17" s="203" customFormat="1" ht="15" thickBot="1" x14ac:dyDescent="0.35">
      <c r="A13" s="593" t="s">
        <v>239</v>
      </c>
      <c r="B13" s="998"/>
      <c r="C13" s="809">
        <f>B57</f>
        <v>1795.5</v>
      </c>
      <c r="D13" s="775"/>
      <c r="E13" s="775"/>
      <c r="F13" s="775"/>
      <c r="G13" s="28"/>
      <c r="I13" s="28"/>
      <c r="J13" s="29"/>
      <c r="K13" s="29"/>
    </row>
    <row r="14" spans="1:17" s="203" customFormat="1" ht="15.6" thickTop="1" thickBot="1" x14ac:dyDescent="0.35">
      <c r="A14" s="593" t="s">
        <v>242</v>
      </c>
      <c r="B14" s="998"/>
      <c r="C14" s="599" t="s">
        <v>59</v>
      </c>
      <c r="D14" s="998"/>
      <c r="E14" s="775"/>
      <c r="F14" s="775"/>
      <c r="G14" s="28"/>
      <c r="I14" s="28"/>
      <c r="J14" s="29"/>
      <c r="K14" s="29"/>
    </row>
    <row r="15" spans="1:17" s="203" customFormat="1" ht="15" thickTop="1" x14ac:dyDescent="0.3">
      <c r="A15" s="593" t="s">
        <v>247</v>
      </c>
      <c r="B15" s="998"/>
      <c r="C15" s="998"/>
      <c r="D15" s="1005"/>
      <c r="E15" s="775"/>
      <c r="F15" s="775"/>
      <c r="G15" s="28"/>
      <c r="I15" s="28"/>
      <c r="J15" s="29"/>
      <c r="K15" s="29"/>
    </row>
    <row r="16" spans="1:17" s="203" customFormat="1" x14ac:dyDescent="0.3">
      <c r="A16" s="593" t="s">
        <v>248</v>
      </c>
      <c r="B16" s="998"/>
      <c r="C16" s="998"/>
      <c r="D16" s="1005"/>
      <c r="E16" s="775"/>
      <c r="F16" s="775"/>
      <c r="G16" s="28"/>
      <c r="I16" s="28"/>
      <c r="J16" s="29"/>
      <c r="K16" s="29"/>
    </row>
    <row r="17" spans="1:17" s="203" customFormat="1" x14ac:dyDescent="0.3">
      <c r="A17" s="593" t="s">
        <v>243</v>
      </c>
      <c r="B17" s="998"/>
      <c r="C17" s="600">
        <v>0</v>
      </c>
      <c r="D17" s="774"/>
      <c r="E17" s="774"/>
      <c r="F17" s="774"/>
      <c r="G17" s="26"/>
      <c r="I17" s="26"/>
    </row>
    <row r="18" spans="1:17" s="203" customFormat="1" x14ac:dyDescent="0.3">
      <c r="A18" s="593"/>
      <c r="B18" s="1000"/>
      <c r="C18" s="592"/>
      <c r="D18" s="774"/>
      <c r="E18" s="774"/>
      <c r="F18" s="774"/>
      <c r="G18" s="26"/>
      <c r="I18" s="26"/>
    </row>
    <row r="19" spans="1:17" s="206" customFormat="1" ht="15" customHeight="1" x14ac:dyDescent="0.3">
      <c r="A19" s="1003" t="s">
        <v>240</v>
      </c>
      <c r="B19" s="1001"/>
      <c r="C19" s="780"/>
      <c r="D19" s="1001"/>
      <c r="E19" s="1001"/>
      <c r="F19" s="1001"/>
    </row>
    <row r="20" spans="1:17" s="206" customFormat="1" x14ac:dyDescent="0.3">
      <c r="A20" s="1004" t="s">
        <v>91</v>
      </c>
      <c r="B20" s="596"/>
      <c r="C20" s="810">
        <f>B4*C11</f>
        <v>16750</v>
      </c>
      <c r="D20" s="596"/>
      <c r="E20" s="596"/>
      <c r="F20" s="596"/>
      <c r="H20" s="32"/>
    </row>
    <row r="21" spans="1:17" s="206" customFormat="1" x14ac:dyDescent="0.3">
      <c r="A21" s="596" t="s">
        <v>92</v>
      </c>
      <c r="B21" s="596"/>
      <c r="C21" s="810">
        <f>B5*C11</f>
        <v>2454.5</v>
      </c>
      <c r="D21" s="1006"/>
      <c r="E21" s="596"/>
      <c r="F21" s="596"/>
      <c r="H21" s="33"/>
    </row>
    <row r="22" spans="1:17" s="206" customFormat="1" x14ac:dyDescent="0.3">
      <c r="A22" s="596" t="s">
        <v>107</v>
      </c>
      <c r="B22" s="596"/>
      <c r="C22" s="811">
        <f>IF(C14="Yes", B57, C17)</f>
        <v>1795.5</v>
      </c>
      <c r="D22" s="596"/>
      <c r="E22" s="596"/>
      <c r="F22" s="596"/>
      <c r="H22" s="31"/>
    </row>
    <row r="23" spans="1:17" s="206" customFormat="1" x14ac:dyDescent="0.3">
      <c r="A23" s="596" t="s">
        <v>95</v>
      </c>
      <c r="B23" s="596"/>
      <c r="C23" s="810">
        <f>SUM(C20:C22)</f>
        <v>21000</v>
      </c>
      <c r="D23" s="596"/>
      <c r="E23" s="596"/>
      <c r="F23" s="596"/>
      <c r="H23" s="203"/>
    </row>
    <row r="24" spans="1:17" s="206" customFormat="1" x14ac:dyDescent="0.3">
      <c r="A24" s="596"/>
      <c r="B24" s="1002"/>
      <c r="C24" s="596"/>
      <c r="D24" s="596"/>
      <c r="E24" s="596"/>
      <c r="F24" s="596"/>
      <c r="H24" s="203"/>
    </row>
    <row r="25" spans="1:17" s="203" customFormat="1" x14ac:dyDescent="0.3">
      <c r="A25" s="597" t="s">
        <v>110</v>
      </c>
      <c r="B25" s="784"/>
      <c r="C25" s="771"/>
      <c r="D25" s="772"/>
      <c r="E25" s="772"/>
      <c r="F25" s="772"/>
      <c r="G25" s="26"/>
      <c r="H25" s="26"/>
      <c r="I25" s="26"/>
    </row>
    <row r="26" spans="1:17" s="203" customFormat="1" x14ac:dyDescent="0.3">
      <c r="A26" s="593" t="s">
        <v>238</v>
      </c>
      <c r="B26" s="998"/>
      <c r="C26" s="598">
        <v>0</v>
      </c>
      <c r="D26" s="774"/>
      <c r="E26" s="774"/>
      <c r="F26" s="774"/>
      <c r="G26" s="30"/>
      <c r="H26" s="30"/>
      <c r="I26" s="30"/>
      <c r="J26" s="205"/>
      <c r="K26" s="205"/>
      <c r="L26" s="205"/>
      <c r="M26" s="205"/>
      <c r="N26" s="205"/>
      <c r="O26" s="205"/>
      <c r="P26" s="205"/>
      <c r="Q26" s="205"/>
    </row>
    <row r="27" spans="1:17" s="207" customFormat="1" x14ac:dyDescent="0.3">
      <c r="A27" s="592"/>
      <c r="B27" s="999"/>
      <c r="C27" s="592"/>
      <c r="D27" s="774"/>
      <c r="E27" s="774"/>
      <c r="F27" s="774"/>
      <c r="G27" s="30"/>
      <c r="H27" s="35"/>
      <c r="I27" s="35"/>
      <c r="J27" s="206"/>
      <c r="K27" s="206"/>
      <c r="L27" s="206"/>
      <c r="M27" s="206"/>
      <c r="N27" s="206"/>
      <c r="O27" s="206"/>
      <c r="P27" s="206"/>
      <c r="Q27" s="206"/>
    </row>
    <row r="28" spans="1:17" s="203" customFormat="1" ht="15" thickBot="1" x14ac:dyDescent="0.35">
      <c r="A28" s="593" t="s">
        <v>239</v>
      </c>
      <c r="B28" s="998"/>
      <c r="C28" s="809">
        <f>B66</f>
        <v>0</v>
      </c>
      <c r="D28" s="775"/>
      <c r="E28" s="775"/>
      <c r="F28" s="775"/>
      <c r="G28" s="28"/>
      <c r="I28" s="28"/>
      <c r="J28" s="29"/>
      <c r="K28" s="29"/>
    </row>
    <row r="29" spans="1:17" s="203" customFormat="1" ht="15.6" thickTop="1" thickBot="1" x14ac:dyDescent="0.35">
      <c r="A29" s="593" t="s">
        <v>244</v>
      </c>
      <c r="B29" s="998"/>
      <c r="C29" s="599" t="s">
        <v>59</v>
      </c>
      <c r="D29" s="775"/>
      <c r="E29" s="775"/>
      <c r="F29" s="775"/>
      <c r="G29" s="28"/>
      <c r="I29" s="28"/>
      <c r="J29" s="29"/>
      <c r="K29" s="29"/>
    </row>
    <row r="30" spans="1:17" s="203" customFormat="1" ht="15" thickTop="1" x14ac:dyDescent="0.3">
      <c r="A30" s="593" t="s">
        <v>247</v>
      </c>
      <c r="B30" s="998"/>
      <c r="C30" s="773"/>
      <c r="D30" s="1005"/>
      <c r="E30" s="775"/>
      <c r="F30" s="775"/>
      <c r="G30" s="28"/>
      <c r="I30" s="28"/>
      <c r="J30" s="29"/>
      <c r="K30" s="29"/>
    </row>
    <row r="31" spans="1:17" s="203" customFormat="1" x14ac:dyDescent="0.3">
      <c r="A31" s="593" t="s">
        <v>248</v>
      </c>
      <c r="B31" s="998"/>
      <c r="C31" s="773"/>
      <c r="D31" s="1005"/>
      <c r="E31" s="775"/>
      <c r="F31" s="775"/>
      <c r="G31" s="28"/>
      <c r="I31" s="28"/>
      <c r="J31" s="29"/>
      <c r="K31" s="29"/>
    </row>
    <row r="32" spans="1:17" s="203" customFormat="1" x14ac:dyDescent="0.3">
      <c r="A32" s="593" t="s">
        <v>259</v>
      </c>
      <c r="B32" s="998"/>
      <c r="C32" s="600">
        <v>0</v>
      </c>
      <c r="D32" s="774"/>
      <c r="E32" s="774"/>
      <c r="F32" s="774"/>
      <c r="G32" s="26"/>
      <c r="I32" s="26"/>
    </row>
    <row r="33" spans="1:11" s="203" customFormat="1" x14ac:dyDescent="0.3">
      <c r="A33" s="593"/>
      <c r="B33" s="998"/>
      <c r="C33" s="1000"/>
      <c r="D33" s="774"/>
      <c r="E33" s="774"/>
      <c r="F33" s="774"/>
      <c r="G33" s="26"/>
      <c r="I33" s="26"/>
    </row>
    <row r="34" spans="1:11" s="206" customFormat="1" ht="15" customHeight="1" x14ac:dyDescent="0.3">
      <c r="A34" s="1003" t="s">
        <v>245</v>
      </c>
      <c r="B34" s="1001"/>
      <c r="C34" s="1001"/>
      <c r="D34" s="1001"/>
      <c r="E34" s="1001"/>
      <c r="F34" s="1001"/>
    </row>
    <row r="35" spans="1:11" s="206" customFormat="1" x14ac:dyDescent="0.3">
      <c r="A35" s="1004" t="s">
        <v>91</v>
      </c>
      <c r="B35" s="596"/>
      <c r="C35" s="810">
        <f>B4*C26</f>
        <v>0</v>
      </c>
      <c r="D35" s="596"/>
      <c r="E35" s="596"/>
      <c r="F35" s="596"/>
      <c r="H35" s="32"/>
    </row>
    <row r="36" spans="1:11" s="206" customFormat="1" x14ac:dyDescent="0.3">
      <c r="A36" s="596" t="s">
        <v>92</v>
      </c>
      <c r="B36" s="596"/>
      <c r="C36" s="810">
        <f>B5*C26</f>
        <v>0</v>
      </c>
      <c r="D36" s="1006"/>
      <c r="E36" s="596"/>
      <c r="F36" s="596"/>
      <c r="H36" s="33"/>
    </row>
    <row r="37" spans="1:11" s="206" customFormat="1" x14ac:dyDescent="0.3">
      <c r="A37" s="596" t="s">
        <v>107</v>
      </c>
      <c r="B37" s="596"/>
      <c r="C37" s="811">
        <f>IF(C29="Yes", B66, C32)</f>
        <v>0</v>
      </c>
      <c r="D37" s="596"/>
      <c r="E37" s="596"/>
      <c r="F37" s="596"/>
      <c r="H37" s="31"/>
    </row>
    <row r="38" spans="1:11" s="206" customFormat="1" x14ac:dyDescent="0.3">
      <c r="A38" s="596" t="s">
        <v>95</v>
      </c>
      <c r="B38" s="596"/>
      <c r="C38" s="810">
        <f>SUM(C35:C37)</f>
        <v>0</v>
      </c>
      <c r="D38" s="596"/>
      <c r="E38" s="596"/>
      <c r="F38" s="596"/>
      <c r="H38" s="203"/>
    </row>
    <row r="39" spans="1:11" s="206" customFormat="1" x14ac:dyDescent="0.3">
      <c r="A39" s="596"/>
      <c r="B39" s="596"/>
      <c r="C39" s="782"/>
      <c r="D39" s="596"/>
      <c r="E39" s="596"/>
      <c r="F39" s="596"/>
      <c r="H39" s="203"/>
    </row>
    <row r="40" spans="1:11" s="203" customFormat="1" x14ac:dyDescent="0.3">
      <c r="A40" s="1538" t="s">
        <v>234</v>
      </c>
      <c r="B40" s="1538"/>
      <c r="C40" s="1538"/>
      <c r="D40" s="1538"/>
      <c r="E40" s="1538"/>
      <c r="F40" s="1538"/>
      <c r="G40" s="26"/>
      <c r="I40" s="26"/>
    </row>
    <row r="41" spans="1:11" s="206" customFormat="1" x14ac:dyDescent="0.3">
      <c r="A41" s="1009" t="s">
        <v>91</v>
      </c>
      <c r="B41" s="595"/>
      <c r="C41" s="812">
        <f>C20+C35</f>
        <v>16750</v>
      </c>
      <c r="D41" s="1011"/>
      <c r="E41" s="1011"/>
      <c r="F41" s="1011"/>
      <c r="H41" s="32"/>
    </row>
    <row r="42" spans="1:11" s="206" customFormat="1" x14ac:dyDescent="0.3">
      <c r="A42" s="1011" t="s">
        <v>92</v>
      </c>
      <c r="B42" s="595"/>
      <c r="C42" s="812">
        <f>C21+C36</f>
        <v>2454.5</v>
      </c>
      <c r="D42" s="1012"/>
      <c r="E42" s="1011"/>
      <c r="F42" s="1011"/>
      <c r="H42" s="33"/>
    </row>
    <row r="43" spans="1:11" s="206" customFormat="1" x14ac:dyDescent="0.3">
      <c r="A43" s="1011" t="s">
        <v>107</v>
      </c>
      <c r="B43" s="595"/>
      <c r="C43" s="813">
        <f>C22+C37</f>
        <v>1795.5</v>
      </c>
      <c r="D43" s="1011"/>
      <c r="E43" s="1011"/>
      <c r="F43" s="1011"/>
      <c r="H43" s="31"/>
    </row>
    <row r="44" spans="1:11" s="206" customFormat="1" x14ac:dyDescent="0.3">
      <c r="A44" s="1011" t="s">
        <v>95</v>
      </c>
      <c r="B44" s="595"/>
      <c r="C44" s="812">
        <f>SUM(C41:C43)</f>
        <v>21000</v>
      </c>
      <c r="D44" s="1011"/>
      <c r="E44" s="1011"/>
      <c r="F44" s="1011"/>
      <c r="H44" s="203"/>
    </row>
    <row r="45" spans="1:11" s="203" customFormat="1" x14ac:dyDescent="0.3">
      <c r="A45" s="1539" t="s">
        <v>112</v>
      </c>
      <c r="B45" s="1539"/>
      <c r="C45" s="1539"/>
      <c r="D45" s="1539"/>
      <c r="E45" s="1539"/>
      <c r="F45" s="1539"/>
      <c r="G45" s="28"/>
      <c r="I45" s="28"/>
      <c r="J45" s="29"/>
      <c r="K45" s="29"/>
    </row>
    <row r="46" spans="1:11" s="203" customFormat="1" hidden="1" x14ac:dyDescent="0.3">
      <c r="A46" s="785" t="s">
        <v>63</v>
      </c>
      <c r="B46" s="786"/>
      <c r="C46" s="786"/>
      <c r="D46" s="786"/>
      <c r="E46" s="786"/>
      <c r="F46" s="786"/>
    </row>
    <row r="47" spans="1:11" s="203" customFormat="1" hidden="1" x14ac:dyDescent="0.3">
      <c r="A47" s="787" t="s">
        <v>59</v>
      </c>
      <c r="B47" s="786"/>
      <c r="C47" s="786"/>
      <c r="D47" s="786"/>
      <c r="E47" s="786"/>
      <c r="F47" s="786"/>
    </row>
    <row r="48" spans="1:11" s="203" customFormat="1" hidden="1" x14ac:dyDescent="0.3">
      <c r="A48" s="787" t="s">
        <v>60</v>
      </c>
      <c r="B48" s="786"/>
      <c r="C48" s="786"/>
      <c r="D48" s="786"/>
      <c r="E48" s="786"/>
      <c r="F48" s="786"/>
    </row>
    <row r="49" spans="1:6" s="203" customFormat="1" hidden="1" x14ac:dyDescent="0.3">
      <c r="A49" s="788" t="s">
        <v>235</v>
      </c>
      <c r="B49" s="786"/>
      <c r="C49" s="786"/>
      <c r="D49" s="786"/>
      <c r="E49" s="786"/>
      <c r="F49" s="786"/>
    </row>
    <row r="50" spans="1:6" s="203" customFormat="1" hidden="1" x14ac:dyDescent="0.3">
      <c r="A50" s="788" t="s">
        <v>109</v>
      </c>
      <c r="B50" s="786"/>
      <c r="C50" s="786"/>
      <c r="D50" s="786"/>
      <c r="E50" s="786"/>
      <c r="F50" s="786"/>
    </row>
    <row r="51" spans="1:6" s="203" customFormat="1" hidden="1" x14ac:dyDescent="0.3">
      <c r="A51" s="789" t="s">
        <v>79</v>
      </c>
      <c r="B51" s="790">
        <f>C20</f>
        <v>16750</v>
      </c>
      <c r="C51" s="786"/>
      <c r="D51" s="786"/>
      <c r="E51" s="786"/>
      <c r="F51" s="786"/>
    </row>
    <row r="52" spans="1:6" s="203" customFormat="1" hidden="1" x14ac:dyDescent="0.3">
      <c r="A52" s="789" t="s">
        <v>78</v>
      </c>
      <c r="B52" s="790">
        <f>C21</f>
        <v>2454.5</v>
      </c>
      <c r="C52" s="786"/>
      <c r="D52" s="786"/>
      <c r="E52" s="786"/>
      <c r="F52" s="786"/>
    </row>
    <row r="53" spans="1:6" s="203" customFormat="1" hidden="1" x14ac:dyDescent="0.3">
      <c r="A53" s="786" t="s">
        <v>4</v>
      </c>
      <c r="B53" s="790">
        <f>SUM(B51:B52)</f>
        <v>19204.5</v>
      </c>
      <c r="C53" s="786"/>
      <c r="D53" s="786"/>
      <c r="E53" s="786"/>
      <c r="F53" s="786"/>
    </row>
    <row r="54" spans="1:6" s="203" customFormat="1" hidden="1" x14ac:dyDescent="0.3">
      <c r="A54" s="786"/>
      <c r="B54" s="786"/>
      <c r="C54" s="786"/>
      <c r="D54" s="786"/>
      <c r="E54" s="786"/>
      <c r="F54" s="786"/>
    </row>
    <row r="55" spans="1:6" s="203" customFormat="1" hidden="1" x14ac:dyDescent="0.3">
      <c r="A55" s="786" t="s">
        <v>89</v>
      </c>
      <c r="B55" s="790">
        <f>B7*C11</f>
        <v>21000</v>
      </c>
      <c r="C55" s="786"/>
      <c r="D55" s="786"/>
      <c r="E55" s="786"/>
      <c r="F55" s="786"/>
    </row>
    <row r="56" spans="1:6" s="203" customFormat="1" hidden="1" x14ac:dyDescent="0.3">
      <c r="A56" s="786"/>
      <c r="B56" s="786"/>
      <c r="C56" s="786"/>
      <c r="D56" s="786"/>
      <c r="E56" s="786"/>
      <c r="F56" s="786"/>
    </row>
    <row r="57" spans="1:6" s="203" customFormat="1" hidden="1" x14ac:dyDescent="0.3">
      <c r="A57" s="786" t="s">
        <v>90</v>
      </c>
      <c r="B57" s="790">
        <f>B55-B53</f>
        <v>1795.5</v>
      </c>
      <c r="C57" s="786"/>
      <c r="D57" s="786"/>
      <c r="E57" s="786"/>
      <c r="F57" s="786"/>
    </row>
    <row r="58" spans="1:6" s="203" customFormat="1" hidden="1" x14ac:dyDescent="0.3">
      <c r="A58" s="786"/>
      <c r="B58" s="790"/>
      <c r="C58" s="786"/>
      <c r="D58" s="786"/>
      <c r="E58" s="786"/>
      <c r="F58" s="786"/>
    </row>
    <row r="59" spans="1:6" s="203" customFormat="1" hidden="1" x14ac:dyDescent="0.3">
      <c r="A59" s="788" t="s">
        <v>110</v>
      </c>
      <c r="B59" s="786"/>
      <c r="C59" s="786"/>
      <c r="D59" s="786"/>
      <c r="E59" s="786"/>
      <c r="F59" s="786"/>
    </row>
    <row r="60" spans="1:6" s="203" customFormat="1" hidden="1" x14ac:dyDescent="0.3">
      <c r="A60" s="789" t="s">
        <v>79</v>
      </c>
      <c r="B60" s="790">
        <f>C35</f>
        <v>0</v>
      </c>
      <c r="C60" s="786"/>
      <c r="D60" s="786"/>
      <c r="E60" s="786"/>
      <c r="F60" s="786"/>
    </row>
    <row r="61" spans="1:6" s="203" customFormat="1" hidden="1" x14ac:dyDescent="0.3">
      <c r="A61" s="789" t="s">
        <v>78</v>
      </c>
      <c r="B61" s="790">
        <f>C36</f>
        <v>0</v>
      </c>
      <c r="C61" s="786"/>
      <c r="D61" s="786"/>
      <c r="E61" s="786"/>
      <c r="F61" s="786"/>
    </row>
    <row r="62" spans="1:6" s="203" customFormat="1" hidden="1" x14ac:dyDescent="0.3">
      <c r="A62" s="786" t="s">
        <v>4</v>
      </c>
      <c r="B62" s="790">
        <f>SUM(B60:B61)</f>
        <v>0</v>
      </c>
      <c r="C62" s="786"/>
      <c r="D62" s="786"/>
      <c r="E62" s="786"/>
      <c r="F62" s="786"/>
    </row>
    <row r="63" spans="1:6" s="203" customFormat="1" hidden="1" x14ac:dyDescent="0.3">
      <c r="A63" s="786"/>
      <c r="B63" s="786"/>
      <c r="C63" s="786"/>
      <c r="D63" s="786"/>
      <c r="E63" s="786"/>
      <c r="F63" s="786"/>
    </row>
    <row r="64" spans="1:6" s="203" customFormat="1" hidden="1" x14ac:dyDescent="0.3">
      <c r="A64" s="786" t="s">
        <v>89</v>
      </c>
      <c r="B64" s="790">
        <f>B7*C26</f>
        <v>0</v>
      </c>
      <c r="C64" s="786"/>
      <c r="D64" s="786"/>
      <c r="E64" s="786"/>
      <c r="F64" s="786"/>
    </row>
    <row r="65" spans="1:17" s="203" customFormat="1" hidden="1" x14ac:dyDescent="0.3">
      <c r="A65" s="786"/>
      <c r="B65" s="786"/>
      <c r="C65" s="786"/>
      <c r="D65" s="786"/>
      <c r="E65" s="786"/>
      <c r="F65" s="786"/>
    </row>
    <row r="66" spans="1:17" s="203" customFormat="1" hidden="1" x14ac:dyDescent="0.3">
      <c r="A66" s="786" t="s">
        <v>90</v>
      </c>
      <c r="B66" s="790">
        <f>B64-B62</f>
        <v>0</v>
      </c>
      <c r="C66" s="786"/>
      <c r="D66" s="786"/>
      <c r="E66" s="786"/>
      <c r="F66" s="786"/>
    </row>
    <row r="67" spans="1:17" s="203" customFormat="1" x14ac:dyDescent="0.3">
      <c r="A67" s="791"/>
      <c r="B67" s="791"/>
      <c r="C67" s="791"/>
      <c r="D67" s="791"/>
      <c r="E67" s="791"/>
      <c r="F67" s="791"/>
      <c r="G67" s="28"/>
      <c r="I67" s="28"/>
      <c r="J67" s="29"/>
      <c r="K67" s="29"/>
    </row>
    <row r="68" spans="1:17" s="203" customFormat="1" x14ac:dyDescent="0.3">
      <c r="A68" s="1540" t="s">
        <v>118</v>
      </c>
      <c r="B68" s="1540"/>
      <c r="C68" s="1540"/>
      <c r="D68" s="1540"/>
      <c r="E68" s="1540"/>
      <c r="F68" s="1540"/>
      <c r="G68" s="26"/>
      <c r="H68" s="26"/>
      <c r="I68" s="26"/>
    </row>
    <row r="69" spans="1:17" s="203" customFormat="1" x14ac:dyDescent="0.3">
      <c r="A69" s="597" t="s">
        <v>109</v>
      </c>
      <c r="B69" s="784"/>
      <c r="C69" s="771"/>
      <c r="D69" s="772"/>
      <c r="E69" s="772"/>
      <c r="F69" s="772"/>
      <c r="G69" s="26"/>
      <c r="H69" s="26"/>
      <c r="I69" s="26"/>
    </row>
    <row r="70" spans="1:17" s="203" customFormat="1" x14ac:dyDescent="0.3">
      <c r="A70" s="593" t="s">
        <v>237</v>
      </c>
      <c r="B70" s="998"/>
      <c r="C70" s="598">
        <v>0</v>
      </c>
      <c r="D70" s="774"/>
      <c r="E70" s="774"/>
      <c r="F70" s="774"/>
      <c r="G70" s="30"/>
      <c r="H70" s="30"/>
      <c r="I70" s="30"/>
      <c r="J70" s="205"/>
      <c r="K70" s="205"/>
      <c r="L70" s="205"/>
      <c r="M70" s="205"/>
      <c r="N70" s="205"/>
      <c r="O70" s="205"/>
      <c r="P70" s="205"/>
      <c r="Q70" s="205"/>
    </row>
    <row r="71" spans="1:17" s="207" customFormat="1" x14ac:dyDescent="0.3">
      <c r="A71" s="592"/>
      <c r="B71" s="999"/>
      <c r="C71" s="592"/>
      <c r="D71" s="774"/>
      <c r="E71" s="774"/>
      <c r="F71" s="774"/>
      <c r="G71" s="30"/>
      <c r="H71" s="35"/>
      <c r="I71" s="35"/>
      <c r="J71" s="206"/>
      <c r="K71" s="206"/>
      <c r="L71" s="206"/>
      <c r="M71" s="206"/>
      <c r="N71" s="206"/>
      <c r="O71" s="206"/>
      <c r="P71" s="206"/>
      <c r="Q71" s="206"/>
    </row>
    <row r="72" spans="1:17" s="203" customFormat="1" ht="15" thickBot="1" x14ac:dyDescent="0.35">
      <c r="A72" s="593" t="s">
        <v>239</v>
      </c>
      <c r="B72" s="998"/>
      <c r="C72" s="809">
        <f>B113</f>
        <v>0</v>
      </c>
      <c r="D72" s="775"/>
      <c r="E72" s="775"/>
      <c r="F72" s="775"/>
      <c r="G72" s="28"/>
      <c r="I72" s="28"/>
      <c r="J72" s="29"/>
      <c r="K72" s="29"/>
    </row>
    <row r="73" spans="1:17" s="203" customFormat="1" ht="15.6" thickTop="1" thickBot="1" x14ac:dyDescent="0.35">
      <c r="A73" s="593" t="s">
        <v>242</v>
      </c>
      <c r="B73" s="998"/>
      <c r="C73" s="599" t="s">
        <v>59</v>
      </c>
      <c r="D73" s="998"/>
      <c r="E73" s="775"/>
      <c r="F73" s="775"/>
      <c r="G73" s="28"/>
      <c r="I73" s="28"/>
      <c r="J73" s="29"/>
      <c r="K73" s="29"/>
    </row>
    <row r="74" spans="1:17" s="203" customFormat="1" ht="15" thickTop="1" x14ac:dyDescent="0.3">
      <c r="A74" s="593" t="s">
        <v>247</v>
      </c>
      <c r="B74" s="998"/>
      <c r="C74" s="998"/>
      <c r="D74" s="1005"/>
      <c r="E74" s="775"/>
      <c r="F74" s="775"/>
      <c r="G74" s="28"/>
      <c r="I74" s="28"/>
      <c r="J74" s="29"/>
      <c r="K74" s="29"/>
    </row>
    <row r="75" spans="1:17" s="203" customFormat="1" x14ac:dyDescent="0.3">
      <c r="A75" s="593" t="s">
        <v>248</v>
      </c>
      <c r="B75" s="998"/>
      <c r="C75" s="998"/>
      <c r="D75" s="1005"/>
      <c r="E75" s="775"/>
      <c r="F75" s="775"/>
      <c r="G75" s="28"/>
      <c r="I75" s="28"/>
      <c r="J75" s="29"/>
      <c r="K75" s="29"/>
    </row>
    <row r="76" spans="1:17" s="203" customFormat="1" x14ac:dyDescent="0.3">
      <c r="A76" s="593" t="s">
        <v>243</v>
      </c>
      <c r="B76" s="998"/>
      <c r="C76" s="600">
        <v>0</v>
      </c>
      <c r="D76" s="774"/>
      <c r="E76" s="774"/>
      <c r="F76" s="774"/>
      <c r="G76" s="26"/>
      <c r="I76" s="26"/>
    </row>
    <row r="77" spans="1:17" s="203" customFormat="1" x14ac:dyDescent="0.3">
      <c r="A77" s="593"/>
      <c r="B77" s="1000"/>
      <c r="C77" s="592"/>
      <c r="D77" s="774"/>
      <c r="E77" s="774"/>
      <c r="F77" s="774"/>
      <c r="G77" s="26"/>
      <c r="I77" s="26"/>
    </row>
    <row r="78" spans="1:17" s="206" customFormat="1" ht="15" customHeight="1" x14ac:dyDescent="0.3">
      <c r="A78" s="1003" t="s">
        <v>240</v>
      </c>
      <c r="B78" s="1001"/>
      <c r="C78" s="780"/>
      <c r="D78" s="1001"/>
      <c r="E78" s="1001"/>
      <c r="F78" s="1001"/>
    </row>
    <row r="79" spans="1:17" s="206" customFormat="1" x14ac:dyDescent="0.3">
      <c r="A79" s="1004" t="s">
        <v>91</v>
      </c>
      <c r="B79" s="596"/>
      <c r="C79" s="810">
        <f>$B$4*C70</f>
        <v>0</v>
      </c>
      <c r="D79" s="596"/>
      <c r="E79" s="596"/>
      <c r="F79" s="596"/>
      <c r="H79" s="32"/>
    </row>
    <row r="80" spans="1:17" s="206" customFormat="1" x14ac:dyDescent="0.3">
      <c r="A80" s="596" t="s">
        <v>92</v>
      </c>
      <c r="B80" s="596"/>
      <c r="C80" s="810">
        <f>$B$5*C70</f>
        <v>0</v>
      </c>
      <c r="D80" s="1006"/>
      <c r="E80" s="596"/>
      <c r="F80" s="596"/>
      <c r="H80" s="33"/>
    </row>
    <row r="81" spans="1:17" s="206" customFormat="1" x14ac:dyDescent="0.3">
      <c r="A81" s="596" t="s">
        <v>107</v>
      </c>
      <c r="B81" s="596"/>
      <c r="C81" s="811">
        <f>IF(C73="Yes", B113, C76)</f>
        <v>0</v>
      </c>
      <c r="D81" s="596"/>
      <c r="E81" s="596"/>
      <c r="F81" s="596"/>
      <c r="H81" s="31"/>
    </row>
    <row r="82" spans="1:17" s="206" customFormat="1" x14ac:dyDescent="0.3">
      <c r="A82" s="596" t="s">
        <v>95</v>
      </c>
      <c r="B82" s="596"/>
      <c r="C82" s="810">
        <f>SUM(C79:C81)</f>
        <v>0</v>
      </c>
      <c r="D82" s="596"/>
      <c r="E82" s="596"/>
      <c r="F82" s="596"/>
      <c r="H82" s="203"/>
    </row>
    <row r="83" spans="1:17" s="206" customFormat="1" x14ac:dyDescent="0.3">
      <c r="A83" s="596"/>
      <c r="B83" s="1002"/>
      <c r="C83" s="596"/>
      <c r="D83" s="596"/>
      <c r="E83" s="596"/>
      <c r="F83" s="596"/>
      <c r="H83" s="203"/>
    </row>
    <row r="84" spans="1:17" s="203" customFormat="1" x14ac:dyDescent="0.3">
      <c r="A84" s="597" t="s">
        <v>110</v>
      </c>
      <c r="B84" s="784"/>
      <c r="C84" s="771"/>
      <c r="D84" s="772"/>
      <c r="E84" s="772"/>
      <c r="F84" s="772"/>
      <c r="G84" s="26"/>
      <c r="H84" s="26"/>
      <c r="I84" s="26"/>
    </row>
    <row r="85" spans="1:17" s="203" customFormat="1" x14ac:dyDescent="0.3">
      <c r="A85" s="593" t="s">
        <v>238</v>
      </c>
      <c r="B85" s="998"/>
      <c r="C85" s="598">
        <v>0</v>
      </c>
      <c r="D85" s="774"/>
      <c r="E85" s="774"/>
      <c r="F85" s="774"/>
      <c r="G85" s="30"/>
      <c r="H85" s="30"/>
      <c r="I85" s="30"/>
      <c r="J85" s="205"/>
      <c r="K85" s="205"/>
      <c r="L85" s="205"/>
      <c r="M85" s="205"/>
      <c r="N85" s="205"/>
      <c r="O85" s="205"/>
      <c r="P85" s="205"/>
      <c r="Q85" s="205"/>
    </row>
    <row r="86" spans="1:17" s="207" customFormat="1" x14ac:dyDescent="0.3">
      <c r="A86" s="592"/>
      <c r="B86" s="999"/>
      <c r="C86" s="592"/>
      <c r="D86" s="774"/>
      <c r="E86" s="774"/>
      <c r="F86" s="774"/>
      <c r="G86" s="30"/>
      <c r="H86" s="35"/>
      <c r="I86" s="35"/>
      <c r="J86" s="206"/>
      <c r="K86" s="206"/>
      <c r="L86" s="206"/>
      <c r="M86" s="206"/>
      <c r="N86" s="206"/>
      <c r="O86" s="206"/>
      <c r="P86" s="206"/>
      <c r="Q86" s="206"/>
    </row>
    <row r="87" spans="1:17" s="203" customFormat="1" ht="15" thickBot="1" x14ac:dyDescent="0.35">
      <c r="A87" s="593" t="s">
        <v>239</v>
      </c>
      <c r="B87" s="998"/>
      <c r="C87" s="809">
        <f>B122</f>
        <v>0</v>
      </c>
      <c r="D87" s="775"/>
      <c r="E87" s="775"/>
      <c r="F87" s="775"/>
      <c r="G87" s="28"/>
      <c r="I87" s="28"/>
      <c r="J87" s="29"/>
      <c r="K87" s="29"/>
    </row>
    <row r="88" spans="1:17" s="203" customFormat="1" ht="15.6" thickTop="1" thickBot="1" x14ac:dyDescent="0.35">
      <c r="A88" s="593" t="s">
        <v>244</v>
      </c>
      <c r="B88" s="998"/>
      <c r="C88" s="599" t="s">
        <v>59</v>
      </c>
      <c r="D88" s="775"/>
      <c r="E88" s="775"/>
      <c r="F88" s="775"/>
      <c r="G88" s="28"/>
      <c r="I88" s="28"/>
      <c r="J88" s="29"/>
      <c r="K88" s="29"/>
    </row>
    <row r="89" spans="1:17" s="203" customFormat="1" ht="15" thickTop="1" x14ac:dyDescent="0.3">
      <c r="A89" s="593" t="s">
        <v>247</v>
      </c>
      <c r="B89" s="998"/>
      <c r="C89" s="998"/>
      <c r="D89" s="1005"/>
      <c r="E89" s="775"/>
      <c r="F89" s="775"/>
      <c r="G89" s="28"/>
      <c r="I89" s="28"/>
      <c r="J89" s="29"/>
      <c r="K89" s="29"/>
    </row>
    <row r="90" spans="1:17" s="203" customFormat="1" x14ac:dyDescent="0.3">
      <c r="A90" s="593" t="s">
        <v>248</v>
      </c>
      <c r="B90" s="998"/>
      <c r="C90" s="998"/>
      <c r="D90" s="1005"/>
      <c r="E90" s="775"/>
      <c r="F90" s="775"/>
      <c r="G90" s="28"/>
      <c r="I90" s="28"/>
      <c r="J90" s="29"/>
      <c r="K90" s="29"/>
    </row>
    <row r="91" spans="1:17" s="203" customFormat="1" x14ac:dyDescent="0.3">
      <c r="A91" s="593" t="s">
        <v>259</v>
      </c>
      <c r="B91" s="998"/>
      <c r="C91" s="600">
        <v>0</v>
      </c>
      <c r="D91" s="774"/>
      <c r="E91" s="774"/>
      <c r="F91" s="774"/>
      <c r="G91" s="26"/>
      <c r="I91" s="26"/>
    </row>
    <row r="92" spans="1:17" s="203" customFormat="1" x14ac:dyDescent="0.3">
      <c r="A92" s="593"/>
      <c r="B92" s="998"/>
      <c r="C92" s="1000"/>
      <c r="D92" s="774"/>
      <c r="E92" s="774"/>
      <c r="F92" s="774"/>
      <c r="G92" s="26"/>
      <c r="I92" s="26"/>
    </row>
    <row r="93" spans="1:17" s="206" customFormat="1" ht="15" customHeight="1" x14ac:dyDescent="0.3">
      <c r="A93" s="1003" t="s">
        <v>245</v>
      </c>
      <c r="B93" s="1001"/>
      <c r="C93" s="1001"/>
      <c r="D93" s="1001"/>
      <c r="E93" s="1001"/>
      <c r="F93" s="1001"/>
    </row>
    <row r="94" spans="1:17" s="206" customFormat="1" x14ac:dyDescent="0.3">
      <c r="A94" s="1004" t="s">
        <v>91</v>
      </c>
      <c r="B94" s="596"/>
      <c r="C94" s="810">
        <f>$B$4*C85</f>
        <v>0</v>
      </c>
      <c r="D94" s="596"/>
      <c r="E94" s="596"/>
      <c r="F94" s="596"/>
      <c r="H94" s="32"/>
    </row>
    <row r="95" spans="1:17" s="206" customFormat="1" x14ac:dyDescent="0.3">
      <c r="A95" s="596" t="s">
        <v>92</v>
      </c>
      <c r="B95" s="596"/>
      <c r="C95" s="810">
        <f>$B$5*C85</f>
        <v>0</v>
      </c>
      <c r="D95" s="1006"/>
      <c r="E95" s="596"/>
      <c r="F95" s="596"/>
      <c r="H95" s="33"/>
    </row>
    <row r="96" spans="1:17" s="206" customFormat="1" x14ac:dyDescent="0.3">
      <c r="A96" s="596" t="s">
        <v>107</v>
      </c>
      <c r="B96" s="596"/>
      <c r="C96" s="811">
        <f>IF(C88="Yes", B122, C91)</f>
        <v>0</v>
      </c>
      <c r="D96" s="596"/>
      <c r="E96" s="596"/>
      <c r="F96" s="596"/>
      <c r="H96" s="31"/>
    </row>
    <row r="97" spans="1:11" s="206" customFormat="1" x14ac:dyDescent="0.3">
      <c r="A97" s="596" t="s">
        <v>95</v>
      </c>
      <c r="B97" s="596"/>
      <c r="C97" s="810">
        <f>SUM(C94:C96)</f>
        <v>0</v>
      </c>
      <c r="D97" s="596"/>
      <c r="E97" s="596"/>
      <c r="F97" s="596"/>
      <c r="H97" s="203"/>
    </row>
    <row r="98" spans="1:11" s="206" customFormat="1" x14ac:dyDescent="0.3">
      <c r="A98" s="596"/>
      <c r="B98" s="596"/>
      <c r="C98" s="1002"/>
      <c r="D98" s="596"/>
      <c r="E98" s="596"/>
      <c r="F98" s="596"/>
      <c r="H98" s="203"/>
    </row>
    <row r="99" spans="1:11" s="203" customFormat="1" x14ac:dyDescent="0.3">
      <c r="A99" s="1538" t="s">
        <v>249</v>
      </c>
      <c r="B99" s="1538"/>
      <c r="C99" s="1538"/>
      <c r="D99" s="1538"/>
      <c r="E99" s="1538"/>
      <c r="F99" s="1538"/>
      <c r="G99" s="26"/>
      <c r="I99" s="26"/>
    </row>
    <row r="100" spans="1:11" s="206" customFormat="1" x14ac:dyDescent="0.3">
      <c r="A100" s="1009" t="s">
        <v>91</v>
      </c>
      <c r="B100" s="596"/>
      <c r="C100" s="812">
        <f>C79+C94</f>
        <v>0</v>
      </c>
      <c r="D100" s="1011"/>
      <c r="E100" s="1011"/>
      <c r="F100" s="1011"/>
      <c r="H100" s="32"/>
    </row>
    <row r="101" spans="1:11" s="206" customFormat="1" x14ac:dyDescent="0.3">
      <c r="A101" s="1011" t="s">
        <v>92</v>
      </c>
      <c r="B101" s="596"/>
      <c r="C101" s="812">
        <f>C80+C95</f>
        <v>0</v>
      </c>
      <c r="D101" s="1012"/>
      <c r="E101" s="1011"/>
      <c r="F101" s="1011"/>
      <c r="H101" s="33"/>
    </row>
    <row r="102" spans="1:11" s="206" customFormat="1" x14ac:dyDescent="0.3">
      <c r="A102" s="1011" t="s">
        <v>107</v>
      </c>
      <c r="B102" s="596"/>
      <c r="C102" s="813">
        <f>C81+C96</f>
        <v>0</v>
      </c>
      <c r="D102" s="1011"/>
      <c r="E102" s="1011"/>
      <c r="F102" s="1011"/>
      <c r="H102" s="31"/>
    </row>
    <row r="103" spans="1:11" s="206" customFormat="1" x14ac:dyDescent="0.3">
      <c r="A103" s="1011" t="s">
        <v>95</v>
      </c>
      <c r="B103" s="596"/>
      <c r="C103" s="812">
        <f>SUM(C100:C102)</f>
        <v>0</v>
      </c>
      <c r="D103" s="1011"/>
      <c r="E103" s="1011"/>
      <c r="F103" s="1011"/>
      <c r="H103" s="203"/>
    </row>
    <row r="104" spans="1:11" s="203" customFormat="1" x14ac:dyDescent="0.3">
      <c r="A104" s="1539" t="s">
        <v>112</v>
      </c>
      <c r="B104" s="1539"/>
      <c r="C104" s="1539"/>
      <c r="D104" s="1539"/>
      <c r="E104" s="1539"/>
      <c r="F104" s="1539"/>
      <c r="G104" s="28"/>
      <c r="I104" s="28"/>
      <c r="J104" s="29"/>
      <c r="K104" s="29"/>
    </row>
    <row r="105" spans="1:11" s="203" customFormat="1" hidden="1" x14ac:dyDescent="0.3">
      <c r="A105" s="788" t="s">
        <v>236</v>
      </c>
      <c r="B105" s="786"/>
      <c r="C105" s="786"/>
      <c r="D105" s="786"/>
      <c r="E105" s="786"/>
      <c r="F105" s="786"/>
    </row>
    <row r="106" spans="1:11" s="203" customFormat="1" hidden="1" x14ac:dyDescent="0.3">
      <c r="A106" s="788" t="s">
        <v>109</v>
      </c>
      <c r="B106" s="786"/>
      <c r="C106" s="786"/>
      <c r="D106" s="786"/>
      <c r="E106" s="786"/>
      <c r="F106" s="786"/>
    </row>
    <row r="107" spans="1:11" s="203" customFormat="1" hidden="1" x14ac:dyDescent="0.3">
      <c r="A107" s="789" t="s">
        <v>79</v>
      </c>
      <c r="B107" s="790">
        <f>C79</f>
        <v>0</v>
      </c>
      <c r="C107" s="786"/>
      <c r="D107" s="786"/>
      <c r="E107" s="786"/>
      <c r="F107" s="786"/>
    </row>
    <row r="108" spans="1:11" s="203" customFormat="1" hidden="1" x14ac:dyDescent="0.3">
      <c r="A108" s="789" t="s">
        <v>78</v>
      </c>
      <c r="B108" s="790">
        <f>C80</f>
        <v>0</v>
      </c>
      <c r="C108" s="786"/>
      <c r="D108" s="786"/>
      <c r="E108" s="786"/>
      <c r="F108" s="786"/>
    </row>
    <row r="109" spans="1:11" s="203" customFormat="1" hidden="1" x14ac:dyDescent="0.3">
      <c r="A109" s="786" t="s">
        <v>4</v>
      </c>
      <c r="B109" s="790">
        <f>SUM(B107:B108)</f>
        <v>0</v>
      </c>
      <c r="C109" s="786"/>
      <c r="D109" s="786"/>
      <c r="E109" s="786"/>
      <c r="F109" s="786"/>
    </row>
    <row r="110" spans="1:11" s="203" customFormat="1" hidden="1" x14ac:dyDescent="0.3">
      <c r="A110" s="786"/>
      <c r="B110" s="786"/>
      <c r="C110" s="786"/>
      <c r="D110" s="786"/>
      <c r="E110" s="786"/>
      <c r="F110" s="786"/>
    </row>
    <row r="111" spans="1:11" s="203" customFormat="1" hidden="1" x14ac:dyDescent="0.3">
      <c r="A111" s="786" t="s">
        <v>89</v>
      </c>
      <c r="B111" s="790">
        <f>$B$7*C70</f>
        <v>0</v>
      </c>
      <c r="C111" s="786"/>
      <c r="D111" s="786"/>
      <c r="E111" s="786"/>
      <c r="F111" s="786"/>
    </row>
    <row r="112" spans="1:11" s="203" customFormat="1" hidden="1" x14ac:dyDescent="0.3">
      <c r="A112" s="786"/>
      <c r="B112" s="786"/>
      <c r="C112" s="786"/>
      <c r="D112" s="786"/>
      <c r="E112" s="786"/>
      <c r="F112" s="786"/>
    </row>
    <row r="113" spans="1:17" s="203" customFormat="1" hidden="1" x14ac:dyDescent="0.3">
      <c r="A113" s="786" t="s">
        <v>90</v>
      </c>
      <c r="B113" s="790">
        <f>B111-B109</f>
        <v>0</v>
      </c>
      <c r="C113" s="786"/>
      <c r="D113" s="786"/>
      <c r="E113" s="786"/>
      <c r="F113" s="786"/>
    </row>
    <row r="114" spans="1:17" s="203" customFormat="1" hidden="1" x14ac:dyDescent="0.3">
      <c r="A114" s="786"/>
      <c r="B114" s="790"/>
      <c r="C114" s="786"/>
      <c r="D114" s="786"/>
      <c r="E114" s="786"/>
      <c r="F114" s="786"/>
    </row>
    <row r="115" spans="1:17" s="203" customFormat="1" hidden="1" x14ac:dyDescent="0.3">
      <c r="A115" s="788" t="s">
        <v>110</v>
      </c>
      <c r="B115" s="786"/>
      <c r="C115" s="786"/>
      <c r="D115" s="786"/>
      <c r="E115" s="786"/>
      <c r="F115" s="786"/>
    </row>
    <row r="116" spans="1:17" s="203" customFormat="1" hidden="1" x14ac:dyDescent="0.3">
      <c r="A116" s="789" t="s">
        <v>79</v>
      </c>
      <c r="B116" s="790">
        <f>C94</f>
        <v>0</v>
      </c>
      <c r="C116" s="786"/>
      <c r="D116" s="786"/>
      <c r="E116" s="786"/>
      <c r="F116" s="786"/>
    </row>
    <row r="117" spans="1:17" s="203" customFormat="1" hidden="1" x14ac:dyDescent="0.3">
      <c r="A117" s="789" t="s">
        <v>78</v>
      </c>
      <c r="B117" s="790">
        <f>C95</f>
        <v>0</v>
      </c>
      <c r="C117" s="786"/>
      <c r="D117" s="786"/>
      <c r="E117" s="786"/>
      <c r="F117" s="786"/>
    </row>
    <row r="118" spans="1:17" s="203" customFormat="1" hidden="1" x14ac:dyDescent="0.3">
      <c r="A118" s="786" t="s">
        <v>4</v>
      </c>
      <c r="B118" s="790">
        <f>SUM(B116:B117)</f>
        <v>0</v>
      </c>
      <c r="C118" s="786"/>
      <c r="D118" s="786"/>
      <c r="E118" s="786"/>
      <c r="F118" s="786"/>
    </row>
    <row r="119" spans="1:17" s="203" customFormat="1" hidden="1" x14ac:dyDescent="0.3">
      <c r="A119" s="786"/>
      <c r="B119" s="786"/>
      <c r="C119" s="786"/>
      <c r="D119" s="786"/>
      <c r="E119" s="786"/>
      <c r="F119" s="786"/>
    </row>
    <row r="120" spans="1:17" s="203" customFormat="1" hidden="1" x14ac:dyDescent="0.3">
      <c r="A120" s="786" t="s">
        <v>89</v>
      </c>
      <c r="B120" s="790">
        <f>$B$7*C85</f>
        <v>0</v>
      </c>
      <c r="C120" s="786"/>
      <c r="D120" s="786"/>
      <c r="E120" s="786"/>
      <c r="F120" s="786"/>
    </row>
    <row r="121" spans="1:17" s="203" customFormat="1" hidden="1" x14ac:dyDescent="0.3">
      <c r="A121" s="786"/>
      <c r="B121" s="786"/>
      <c r="C121" s="786"/>
      <c r="D121" s="786"/>
      <c r="E121" s="786"/>
      <c r="F121" s="786"/>
    </row>
    <row r="122" spans="1:17" s="203" customFormat="1" hidden="1" x14ac:dyDescent="0.3">
      <c r="A122" s="786" t="s">
        <v>90</v>
      </c>
      <c r="B122" s="790">
        <f>B120-B118</f>
        <v>0</v>
      </c>
      <c r="C122" s="786"/>
      <c r="D122" s="786"/>
      <c r="E122" s="786"/>
      <c r="F122" s="786"/>
    </row>
    <row r="123" spans="1:17" s="203" customFormat="1" hidden="1" x14ac:dyDescent="0.3">
      <c r="A123" s="786"/>
      <c r="B123" s="786"/>
      <c r="C123" s="786"/>
      <c r="D123" s="786"/>
      <c r="E123" s="786"/>
      <c r="F123" s="786"/>
    </row>
    <row r="124" spans="1:17" s="204" customFormat="1" x14ac:dyDescent="0.3">
      <c r="A124" s="773"/>
      <c r="B124" s="773"/>
      <c r="C124" s="773"/>
      <c r="D124" s="773"/>
      <c r="E124" s="773"/>
      <c r="F124" s="773"/>
    </row>
    <row r="125" spans="1:17" s="203" customFormat="1" x14ac:dyDescent="0.3">
      <c r="A125" s="1540" t="s">
        <v>250</v>
      </c>
      <c r="B125" s="1540"/>
      <c r="C125" s="1540"/>
      <c r="D125" s="1540"/>
      <c r="E125" s="1540"/>
      <c r="F125" s="1540"/>
      <c r="G125" s="26"/>
      <c r="H125" s="26"/>
      <c r="I125" s="26"/>
    </row>
    <row r="126" spans="1:17" s="203" customFormat="1" x14ac:dyDescent="0.3">
      <c r="A126" s="597" t="s">
        <v>109</v>
      </c>
      <c r="B126" s="784"/>
      <c r="C126" s="771"/>
      <c r="D126" s="772"/>
      <c r="E126" s="772"/>
      <c r="F126" s="772"/>
      <c r="G126" s="26"/>
      <c r="H126" s="26"/>
      <c r="I126" s="26"/>
    </row>
    <row r="127" spans="1:17" s="203" customFormat="1" x14ac:dyDescent="0.3">
      <c r="A127" s="593" t="s">
        <v>237</v>
      </c>
      <c r="B127" s="998"/>
      <c r="C127" s="598">
        <v>0</v>
      </c>
      <c r="D127" s="774"/>
      <c r="E127" s="774"/>
      <c r="F127" s="774"/>
      <c r="G127" s="30"/>
      <c r="H127" s="30"/>
      <c r="I127" s="30"/>
      <c r="J127" s="205"/>
      <c r="K127" s="205"/>
      <c r="L127" s="205"/>
      <c r="M127" s="205"/>
      <c r="N127" s="205"/>
      <c r="O127" s="205"/>
      <c r="P127" s="205"/>
      <c r="Q127" s="205"/>
    </row>
    <row r="128" spans="1:17" s="207" customFormat="1" x14ac:dyDescent="0.3">
      <c r="A128" s="592"/>
      <c r="B128" s="999"/>
      <c r="C128" s="592"/>
      <c r="D128" s="774"/>
      <c r="E128" s="774"/>
      <c r="F128" s="774"/>
      <c r="G128" s="30"/>
      <c r="H128" s="35"/>
      <c r="I128" s="35"/>
      <c r="J128" s="206"/>
      <c r="K128" s="206"/>
      <c r="L128" s="206"/>
      <c r="M128" s="206"/>
      <c r="N128" s="206"/>
      <c r="O128" s="206"/>
      <c r="P128" s="206"/>
      <c r="Q128" s="206"/>
    </row>
    <row r="129" spans="1:17" s="203" customFormat="1" ht="15" thickBot="1" x14ac:dyDescent="0.35">
      <c r="A129" s="593" t="s">
        <v>239</v>
      </c>
      <c r="B129" s="998"/>
      <c r="C129" s="809">
        <f>B170</f>
        <v>0</v>
      </c>
      <c r="D129" s="775"/>
      <c r="E129" s="775"/>
      <c r="F129" s="775"/>
      <c r="G129" s="28"/>
      <c r="I129" s="28"/>
      <c r="J129" s="29"/>
      <c r="K129" s="29"/>
    </row>
    <row r="130" spans="1:17" s="203" customFormat="1" ht="15.6" thickTop="1" thickBot="1" x14ac:dyDescent="0.35">
      <c r="A130" s="593" t="s">
        <v>242</v>
      </c>
      <c r="B130" s="998"/>
      <c r="C130" s="599" t="s">
        <v>59</v>
      </c>
      <c r="D130" s="776"/>
      <c r="E130" s="775"/>
      <c r="F130" s="775"/>
      <c r="G130" s="28"/>
      <c r="I130" s="28"/>
      <c r="J130" s="29"/>
      <c r="K130" s="29"/>
    </row>
    <row r="131" spans="1:17" s="203" customFormat="1" ht="15" thickTop="1" x14ac:dyDescent="0.3">
      <c r="A131" s="593" t="s">
        <v>247</v>
      </c>
      <c r="B131" s="998"/>
      <c r="C131" s="773"/>
      <c r="D131" s="777"/>
      <c r="E131" s="778"/>
      <c r="F131" s="775"/>
      <c r="G131" s="28"/>
      <c r="I131" s="28"/>
      <c r="J131" s="29"/>
      <c r="K131" s="29"/>
    </row>
    <row r="132" spans="1:17" s="203" customFormat="1" x14ac:dyDescent="0.3">
      <c r="A132" s="593" t="s">
        <v>248</v>
      </c>
      <c r="B132" s="998"/>
      <c r="C132" s="773"/>
      <c r="D132" s="777"/>
      <c r="E132" s="778"/>
      <c r="F132" s="775"/>
      <c r="G132" s="28"/>
      <c r="I132" s="28"/>
      <c r="J132" s="29"/>
      <c r="K132" s="29"/>
    </row>
    <row r="133" spans="1:17" s="203" customFormat="1" x14ac:dyDescent="0.3">
      <c r="A133" s="593" t="s">
        <v>243</v>
      </c>
      <c r="B133" s="998"/>
      <c r="C133" s="600"/>
      <c r="D133" s="774"/>
      <c r="E133" s="774"/>
      <c r="F133" s="774"/>
      <c r="G133" s="26"/>
      <c r="I133" s="26"/>
    </row>
    <row r="134" spans="1:17" s="203" customFormat="1" x14ac:dyDescent="0.3">
      <c r="A134" s="593"/>
      <c r="B134" s="1000"/>
      <c r="C134" s="592"/>
      <c r="D134" s="774"/>
      <c r="E134" s="774"/>
      <c r="F134" s="774"/>
      <c r="G134" s="26"/>
      <c r="I134" s="26"/>
    </row>
    <row r="135" spans="1:17" s="206" customFormat="1" ht="15" customHeight="1" x14ac:dyDescent="0.3">
      <c r="A135" s="1003" t="s">
        <v>240</v>
      </c>
      <c r="B135" s="1001"/>
      <c r="C135" s="780"/>
      <c r="D135" s="780"/>
      <c r="E135" s="780"/>
      <c r="F135" s="781"/>
    </row>
    <row r="136" spans="1:17" s="206" customFormat="1" x14ac:dyDescent="0.3">
      <c r="A136" s="1004" t="s">
        <v>91</v>
      </c>
      <c r="B136" s="596"/>
      <c r="C136" s="810">
        <f>$B$4*C127</f>
        <v>0</v>
      </c>
      <c r="D136" s="595"/>
      <c r="E136" s="595"/>
      <c r="F136" s="595"/>
      <c r="H136" s="32"/>
    </row>
    <row r="137" spans="1:17" s="206" customFormat="1" x14ac:dyDescent="0.3">
      <c r="A137" s="596" t="s">
        <v>92</v>
      </c>
      <c r="B137" s="596"/>
      <c r="C137" s="810">
        <f>$B$5*C127</f>
        <v>0</v>
      </c>
      <c r="D137" s="783"/>
      <c r="E137" s="595"/>
      <c r="F137" s="595"/>
      <c r="H137" s="33"/>
    </row>
    <row r="138" spans="1:17" s="206" customFormat="1" x14ac:dyDescent="0.3">
      <c r="A138" s="596" t="s">
        <v>107</v>
      </c>
      <c r="B138" s="596"/>
      <c r="C138" s="811">
        <f>IF(C130="Yes", B170, C133)</f>
        <v>0</v>
      </c>
      <c r="D138" s="595"/>
      <c r="E138" s="595"/>
      <c r="F138" s="595"/>
      <c r="H138" s="31"/>
    </row>
    <row r="139" spans="1:17" s="206" customFormat="1" x14ac:dyDescent="0.3">
      <c r="A139" s="596" t="s">
        <v>95</v>
      </c>
      <c r="B139" s="596"/>
      <c r="C139" s="810">
        <f>SUM(C136:C138)</f>
        <v>0</v>
      </c>
      <c r="D139" s="595"/>
      <c r="E139" s="595"/>
      <c r="F139" s="595"/>
      <c r="H139" s="203"/>
    </row>
    <row r="140" spans="1:17" s="206" customFormat="1" x14ac:dyDescent="0.3">
      <c r="A140" s="596"/>
      <c r="B140" s="1002"/>
      <c r="C140" s="596"/>
      <c r="D140" s="596"/>
      <c r="E140" s="596"/>
      <c r="F140" s="596"/>
      <c r="H140" s="203"/>
    </row>
    <row r="141" spans="1:17" s="203" customFormat="1" x14ac:dyDescent="0.3">
      <c r="A141" s="597" t="s">
        <v>110</v>
      </c>
      <c r="B141" s="784"/>
      <c r="C141" s="771"/>
      <c r="D141" s="772"/>
      <c r="E141" s="772"/>
      <c r="F141" s="772"/>
      <c r="G141" s="26"/>
      <c r="H141" s="26"/>
      <c r="I141" s="26"/>
    </row>
    <row r="142" spans="1:17" s="203" customFormat="1" x14ac:dyDescent="0.3">
      <c r="A142" s="593" t="s">
        <v>238</v>
      </c>
      <c r="B142" s="998"/>
      <c r="C142" s="598">
        <v>0</v>
      </c>
      <c r="D142" s="774"/>
      <c r="E142" s="774"/>
      <c r="F142" s="774"/>
      <c r="G142" s="30"/>
      <c r="H142" s="30"/>
      <c r="I142" s="30"/>
      <c r="J142" s="205"/>
      <c r="K142" s="205"/>
      <c r="L142" s="205"/>
      <c r="M142" s="205"/>
      <c r="N142" s="205"/>
      <c r="O142" s="205"/>
      <c r="P142" s="205"/>
      <c r="Q142" s="205"/>
    </row>
    <row r="143" spans="1:17" s="207" customFormat="1" x14ac:dyDescent="0.3">
      <c r="A143" s="592"/>
      <c r="B143" s="999"/>
      <c r="C143" s="592"/>
      <c r="D143" s="774"/>
      <c r="E143" s="774"/>
      <c r="F143" s="774"/>
      <c r="G143" s="30"/>
      <c r="H143" s="35"/>
      <c r="I143" s="35"/>
      <c r="J143" s="206"/>
      <c r="K143" s="206"/>
      <c r="L143" s="206"/>
      <c r="M143" s="206"/>
      <c r="N143" s="206"/>
      <c r="O143" s="206"/>
      <c r="P143" s="206"/>
      <c r="Q143" s="206"/>
    </row>
    <row r="144" spans="1:17" s="203" customFormat="1" ht="15" thickBot="1" x14ac:dyDescent="0.35">
      <c r="A144" s="593" t="s">
        <v>239</v>
      </c>
      <c r="B144" s="998"/>
      <c r="C144" s="809">
        <f>B179</f>
        <v>0</v>
      </c>
      <c r="D144" s="775"/>
      <c r="E144" s="775"/>
      <c r="F144" s="775"/>
      <c r="G144" s="28"/>
      <c r="I144" s="28"/>
      <c r="J144" s="29"/>
      <c r="K144" s="29"/>
    </row>
    <row r="145" spans="1:11" s="203" customFormat="1" ht="15.6" thickTop="1" thickBot="1" x14ac:dyDescent="0.35">
      <c r="A145" s="593" t="s">
        <v>244</v>
      </c>
      <c r="B145" s="998"/>
      <c r="C145" s="599" t="s">
        <v>59</v>
      </c>
      <c r="D145" s="775"/>
      <c r="E145" s="775"/>
      <c r="F145" s="775"/>
      <c r="G145" s="28"/>
      <c r="I145" s="28"/>
      <c r="J145" s="29"/>
      <c r="K145" s="29"/>
    </row>
    <row r="146" spans="1:11" s="203" customFormat="1" ht="15" thickTop="1" x14ac:dyDescent="0.3">
      <c r="A146" s="593" t="s">
        <v>247</v>
      </c>
      <c r="B146" s="998"/>
      <c r="C146" s="998"/>
      <c r="D146" s="1005"/>
      <c r="E146" s="775"/>
      <c r="F146" s="775"/>
      <c r="G146" s="28"/>
      <c r="I146" s="28"/>
      <c r="J146" s="29"/>
      <c r="K146" s="29"/>
    </row>
    <row r="147" spans="1:11" s="203" customFormat="1" x14ac:dyDescent="0.3">
      <c r="A147" s="593" t="s">
        <v>248</v>
      </c>
      <c r="B147" s="998"/>
      <c r="C147" s="998"/>
      <c r="D147" s="1005"/>
      <c r="E147" s="775"/>
      <c r="F147" s="775"/>
      <c r="G147" s="28"/>
      <c r="I147" s="28"/>
      <c r="J147" s="29"/>
      <c r="K147" s="29"/>
    </row>
    <row r="148" spans="1:11" s="203" customFormat="1" x14ac:dyDescent="0.3">
      <c r="A148" s="593" t="s">
        <v>259</v>
      </c>
      <c r="B148" s="998"/>
      <c r="C148" s="600">
        <v>0</v>
      </c>
      <c r="D148" s="774"/>
      <c r="E148" s="774"/>
      <c r="F148" s="774"/>
      <c r="G148" s="26"/>
      <c r="I148" s="26"/>
    </row>
    <row r="149" spans="1:11" s="203" customFormat="1" x14ac:dyDescent="0.3">
      <c r="A149" s="593"/>
      <c r="B149" s="998"/>
      <c r="C149" s="779"/>
      <c r="D149" s="774"/>
      <c r="E149" s="774"/>
      <c r="F149" s="774"/>
      <c r="G149" s="26"/>
      <c r="I149" s="26"/>
    </row>
    <row r="150" spans="1:11" s="206" customFormat="1" ht="15" customHeight="1" x14ac:dyDescent="0.3">
      <c r="A150" s="1003" t="s">
        <v>245</v>
      </c>
      <c r="B150" s="1001"/>
      <c r="C150" s="814"/>
      <c r="D150" s="1001"/>
      <c r="E150" s="1001"/>
      <c r="F150" s="1001"/>
    </row>
    <row r="151" spans="1:11" s="206" customFormat="1" x14ac:dyDescent="0.3">
      <c r="A151" s="1004" t="s">
        <v>91</v>
      </c>
      <c r="B151" s="596"/>
      <c r="C151" s="810">
        <f>$B$4*C142</f>
        <v>0</v>
      </c>
      <c r="D151" s="596"/>
      <c r="E151" s="596"/>
      <c r="F151" s="596"/>
      <c r="H151" s="32"/>
    </row>
    <row r="152" spans="1:11" s="206" customFormat="1" x14ac:dyDescent="0.3">
      <c r="A152" s="596" t="s">
        <v>92</v>
      </c>
      <c r="B152" s="596"/>
      <c r="C152" s="810">
        <f>$B$5*C142</f>
        <v>0</v>
      </c>
      <c r="D152" s="1006"/>
      <c r="E152" s="596"/>
      <c r="F152" s="596"/>
      <c r="H152" s="33"/>
    </row>
    <row r="153" spans="1:11" s="206" customFormat="1" x14ac:dyDescent="0.3">
      <c r="A153" s="596" t="s">
        <v>107</v>
      </c>
      <c r="B153" s="596"/>
      <c r="C153" s="811">
        <f>IF(C145="Yes", B179, C148)</f>
        <v>0</v>
      </c>
      <c r="D153" s="596"/>
      <c r="E153" s="596"/>
      <c r="F153" s="596"/>
      <c r="H153" s="31"/>
    </row>
    <row r="154" spans="1:11" s="206" customFormat="1" x14ac:dyDescent="0.3">
      <c r="A154" s="596" t="s">
        <v>95</v>
      </c>
      <c r="B154" s="596"/>
      <c r="C154" s="810">
        <f>SUM(C151:C153)</f>
        <v>0</v>
      </c>
      <c r="D154" s="596"/>
      <c r="E154" s="596"/>
      <c r="F154" s="596"/>
      <c r="H154" s="203"/>
    </row>
    <row r="155" spans="1:11" s="206" customFormat="1" x14ac:dyDescent="0.3">
      <c r="A155" s="596"/>
      <c r="B155" s="596"/>
      <c r="C155" s="782"/>
      <c r="D155" s="596"/>
      <c r="E155" s="596"/>
      <c r="F155" s="596"/>
      <c r="H155" s="203"/>
    </row>
    <row r="156" spans="1:11" s="203" customFormat="1" x14ac:dyDescent="0.3">
      <c r="A156" s="1538" t="s">
        <v>251</v>
      </c>
      <c r="B156" s="1538"/>
      <c r="C156" s="1538"/>
      <c r="D156" s="1538"/>
      <c r="E156" s="1538"/>
      <c r="F156" s="1538"/>
      <c r="G156" s="26"/>
      <c r="I156" s="26"/>
    </row>
    <row r="157" spans="1:11" s="206" customFormat="1" x14ac:dyDescent="0.3">
      <c r="A157" s="1009" t="s">
        <v>91</v>
      </c>
      <c r="B157" s="596"/>
      <c r="C157" s="812">
        <f>C136+C151</f>
        <v>0</v>
      </c>
      <c r="D157" s="1011"/>
      <c r="E157" s="1011"/>
      <c r="F157" s="1011"/>
      <c r="H157" s="32"/>
    </row>
    <row r="158" spans="1:11" s="206" customFormat="1" x14ac:dyDescent="0.3">
      <c r="A158" s="1011" t="s">
        <v>92</v>
      </c>
      <c r="B158" s="596"/>
      <c r="C158" s="812">
        <f>C137+C152</f>
        <v>0</v>
      </c>
      <c r="D158" s="1012"/>
      <c r="E158" s="1011"/>
      <c r="F158" s="1011"/>
      <c r="H158" s="33"/>
    </row>
    <row r="159" spans="1:11" s="206" customFormat="1" x14ac:dyDescent="0.3">
      <c r="A159" s="1011" t="s">
        <v>107</v>
      </c>
      <c r="B159" s="596"/>
      <c r="C159" s="813">
        <f>C138+C153</f>
        <v>0</v>
      </c>
      <c r="D159" s="1011"/>
      <c r="E159" s="1011"/>
      <c r="F159" s="1011"/>
      <c r="H159" s="31"/>
    </row>
    <row r="160" spans="1:11" s="206" customFormat="1" x14ac:dyDescent="0.3">
      <c r="A160" s="1011" t="s">
        <v>95</v>
      </c>
      <c r="B160" s="596"/>
      <c r="C160" s="812">
        <f>SUM(C157:C159)</f>
        <v>0</v>
      </c>
      <c r="D160" s="1011"/>
      <c r="E160" s="1011"/>
      <c r="F160" s="1011"/>
      <c r="H160" s="203"/>
    </row>
    <row r="161" spans="1:11" s="203" customFormat="1" x14ac:dyDescent="0.3">
      <c r="A161" s="1539" t="s">
        <v>112</v>
      </c>
      <c r="B161" s="1539"/>
      <c r="C161" s="1539"/>
      <c r="D161" s="1539"/>
      <c r="E161" s="1539"/>
      <c r="F161" s="1539"/>
      <c r="G161" s="28"/>
      <c r="I161" s="28"/>
      <c r="J161" s="29"/>
      <c r="K161" s="29"/>
    </row>
    <row r="162" spans="1:11" s="203" customFormat="1" hidden="1" x14ac:dyDescent="0.3">
      <c r="A162" s="788" t="s">
        <v>252</v>
      </c>
      <c r="B162" s="786"/>
      <c r="C162" s="786"/>
      <c r="D162" s="786"/>
      <c r="E162" s="786"/>
      <c r="F162" s="786"/>
    </row>
    <row r="163" spans="1:11" s="203" customFormat="1" hidden="1" x14ac:dyDescent="0.3">
      <c r="A163" s="788" t="s">
        <v>109</v>
      </c>
      <c r="B163" s="786"/>
      <c r="C163" s="786"/>
      <c r="D163" s="786"/>
      <c r="E163" s="786"/>
      <c r="F163" s="786"/>
    </row>
    <row r="164" spans="1:11" s="203" customFormat="1" hidden="1" x14ac:dyDescent="0.3">
      <c r="A164" s="789" t="s">
        <v>79</v>
      </c>
      <c r="B164" s="790">
        <f>C136</f>
        <v>0</v>
      </c>
      <c r="C164" s="786"/>
      <c r="D164" s="786"/>
      <c r="E164" s="786"/>
      <c r="F164" s="786"/>
    </row>
    <row r="165" spans="1:11" s="203" customFormat="1" hidden="1" x14ac:dyDescent="0.3">
      <c r="A165" s="789" t="s">
        <v>78</v>
      </c>
      <c r="B165" s="790">
        <f>C137</f>
        <v>0</v>
      </c>
      <c r="C165" s="786"/>
      <c r="D165" s="786"/>
      <c r="E165" s="786"/>
      <c r="F165" s="786"/>
    </row>
    <row r="166" spans="1:11" s="203" customFormat="1" hidden="1" x14ac:dyDescent="0.3">
      <c r="A166" s="786" t="s">
        <v>4</v>
      </c>
      <c r="B166" s="790">
        <f>SUM(B164:B165)</f>
        <v>0</v>
      </c>
      <c r="C166" s="786"/>
      <c r="D166" s="786"/>
      <c r="E166" s="786"/>
      <c r="F166" s="786"/>
    </row>
    <row r="167" spans="1:11" s="203" customFormat="1" hidden="1" x14ac:dyDescent="0.3">
      <c r="A167" s="786"/>
      <c r="B167" s="786"/>
      <c r="C167" s="786"/>
      <c r="D167" s="786"/>
      <c r="E167" s="786"/>
      <c r="F167" s="786"/>
    </row>
    <row r="168" spans="1:11" s="203" customFormat="1" hidden="1" x14ac:dyDescent="0.3">
      <c r="A168" s="786" t="s">
        <v>89</v>
      </c>
      <c r="B168" s="790">
        <f>$B$7*C127</f>
        <v>0</v>
      </c>
      <c r="C168" s="786"/>
      <c r="D168" s="786"/>
      <c r="E168" s="786"/>
      <c r="F168" s="786"/>
    </row>
    <row r="169" spans="1:11" s="203" customFormat="1" hidden="1" x14ac:dyDescent="0.3">
      <c r="A169" s="786"/>
      <c r="B169" s="786"/>
      <c r="C169" s="786"/>
      <c r="D169" s="786"/>
      <c r="E169" s="786"/>
      <c r="F169" s="786"/>
    </row>
    <row r="170" spans="1:11" s="203" customFormat="1" hidden="1" x14ac:dyDescent="0.3">
      <c r="A170" s="786" t="s">
        <v>90</v>
      </c>
      <c r="B170" s="790">
        <f>B168-B166</f>
        <v>0</v>
      </c>
      <c r="C170" s="786"/>
      <c r="D170" s="786"/>
      <c r="E170" s="786"/>
      <c r="F170" s="786"/>
    </row>
    <row r="171" spans="1:11" s="203" customFormat="1" hidden="1" x14ac:dyDescent="0.3">
      <c r="A171" s="786"/>
      <c r="B171" s="790"/>
      <c r="C171" s="786"/>
      <c r="D171" s="786"/>
      <c r="E171" s="786"/>
      <c r="F171" s="786"/>
    </row>
    <row r="172" spans="1:11" s="203" customFormat="1" hidden="1" x14ac:dyDescent="0.3">
      <c r="A172" s="788" t="s">
        <v>110</v>
      </c>
      <c r="B172" s="786"/>
      <c r="C172" s="786"/>
      <c r="D172" s="786"/>
      <c r="E172" s="786"/>
      <c r="F172" s="786"/>
    </row>
    <row r="173" spans="1:11" s="203" customFormat="1" hidden="1" x14ac:dyDescent="0.3">
      <c r="A173" s="789" t="s">
        <v>79</v>
      </c>
      <c r="B173" s="790">
        <f>C151</f>
        <v>0</v>
      </c>
      <c r="C173" s="786"/>
      <c r="D173" s="786"/>
      <c r="E173" s="786"/>
      <c r="F173" s="786"/>
    </row>
    <row r="174" spans="1:11" s="203" customFormat="1" hidden="1" x14ac:dyDescent="0.3">
      <c r="A174" s="789" t="s">
        <v>78</v>
      </c>
      <c r="B174" s="790">
        <f>C152</f>
        <v>0</v>
      </c>
      <c r="C174" s="786"/>
      <c r="D174" s="786"/>
      <c r="E174" s="786"/>
      <c r="F174" s="786"/>
    </row>
    <row r="175" spans="1:11" s="203" customFormat="1" hidden="1" x14ac:dyDescent="0.3">
      <c r="A175" s="786" t="s">
        <v>4</v>
      </c>
      <c r="B175" s="790">
        <f>SUM(B173:B174)</f>
        <v>0</v>
      </c>
      <c r="C175" s="786"/>
      <c r="D175" s="786"/>
      <c r="E175" s="786"/>
      <c r="F175" s="786"/>
    </row>
    <row r="176" spans="1:11" s="203" customFormat="1" hidden="1" x14ac:dyDescent="0.3">
      <c r="A176" s="786"/>
      <c r="B176" s="786"/>
      <c r="C176" s="786"/>
      <c r="D176" s="786"/>
      <c r="E176" s="786"/>
      <c r="F176" s="786"/>
    </row>
    <row r="177" spans="1:17" s="203" customFormat="1" hidden="1" x14ac:dyDescent="0.3">
      <c r="A177" s="786" t="s">
        <v>89</v>
      </c>
      <c r="B177" s="790">
        <f>$B$7*C142</f>
        <v>0</v>
      </c>
      <c r="C177" s="786"/>
      <c r="D177" s="786"/>
      <c r="E177" s="786"/>
      <c r="F177" s="786"/>
    </row>
    <row r="178" spans="1:17" s="203" customFormat="1" hidden="1" x14ac:dyDescent="0.3">
      <c r="A178" s="786"/>
      <c r="B178" s="786"/>
      <c r="C178" s="786"/>
      <c r="D178" s="786"/>
      <c r="E178" s="786"/>
      <c r="F178" s="786"/>
    </row>
    <row r="179" spans="1:17" s="203" customFormat="1" hidden="1" x14ac:dyDescent="0.3">
      <c r="A179" s="786" t="s">
        <v>90</v>
      </c>
      <c r="B179" s="790">
        <f>B177-B175</f>
        <v>0</v>
      </c>
      <c r="C179" s="786"/>
      <c r="D179" s="786"/>
      <c r="E179" s="786"/>
      <c r="F179" s="786"/>
    </row>
    <row r="180" spans="1:17" s="203" customFormat="1" x14ac:dyDescent="0.3">
      <c r="A180" s="773"/>
      <c r="B180" s="773"/>
      <c r="C180" s="773"/>
      <c r="D180" s="773"/>
      <c r="E180" s="773"/>
      <c r="F180" s="773"/>
    </row>
    <row r="181" spans="1:17" s="203" customFormat="1" x14ac:dyDescent="0.3">
      <c r="A181" s="1540" t="s">
        <v>253</v>
      </c>
      <c r="B181" s="1540"/>
      <c r="C181" s="1540"/>
      <c r="D181" s="1540"/>
      <c r="E181" s="1540"/>
      <c r="F181" s="1540"/>
      <c r="G181" s="26"/>
      <c r="H181" s="26"/>
      <c r="I181" s="26"/>
    </row>
    <row r="182" spans="1:17" s="203" customFormat="1" x14ac:dyDescent="0.3">
      <c r="A182" s="597" t="s">
        <v>109</v>
      </c>
      <c r="B182" s="784"/>
      <c r="C182" s="771"/>
      <c r="D182" s="772"/>
      <c r="E182" s="772"/>
      <c r="F182" s="772"/>
      <c r="G182" s="26"/>
      <c r="H182" s="26"/>
      <c r="I182" s="26"/>
    </row>
    <row r="183" spans="1:17" s="203" customFormat="1" x14ac:dyDescent="0.3">
      <c r="A183" s="593" t="s">
        <v>237</v>
      </c>
      <c r="B183" s="998"/>
      <c r="C183" s="598">
        <v>0</v>
      </c>
      <c r="D183" s="774"/>
      <c r="E183" s="774"/>
      <c r="F183" s="774"/>
      <c r="G183" s="30"/>
      <c r="H183" s="30"/>
      <c r="I183" s="30"/>
      <c r="J183" s="205"/>
      <c r="K183" s="205"/>
      <c r="L183" s="205"/>
      <c r="M183" s="205"/>
      <c r="N183" s="205"/>
      <c r="O183" s="205"/>
      <c r="P183" s="205"/>
      <c r="Q183" s="205"/>
    </row>
    <row r="184" spans="1:17" s="207" customFormat="1" x14ac:dyDescent="0.3">
      <c r="A184" s="592"/>
      <c r="B184" s="999"/>
      <c r="C184" s="592"/>
      <c r="D184" s="774"/>
      <c r="E184" s="774"/>
      <c r="F184" s="774"/>
      <c r="G184" s="30"/>
      <c r="H184" s="35"/>
      <c r="I184" s="35"/>
      <c r="J184" s="206"/>
      <c r="K184" s="206"/>
      <c r="L184" s="206"/>
      <c r="M184" s="206"/>
      <c r="N184" s="206"/>
      <c r="O184" s="206"/>
      <c r="P184" s="206"/>
      <c r="Q184" s="206"/>
    </row>
    <row r="185" spans="1:17" s="203" customFormat="1" ht="15" thickBot="1" x14ac:dyDescent="0.35">
      <c r="A185" s="593" t="s">
        <v>239</v>
      </c>
      <c r="B185" s="998"/>
      <c r="C185" s="809">
        <f>B226</f>
        <v>0</v>
      </c>
      <c r="D185" s="775"/>
      <c r="E185" s="775"/>
      <c r="F185" s="775"/>
      <c r="G185" s="28"/>
      <c r="I185" s="28"/>
      <c r="J185" s="29"/>
      <c r="K185" s="29"/>
    </row>
    <row r="186" spans="1:17" s="203" customFormat="1" ht="15.6" thickTop="1" thickBot="1" x14ac:dyDescent="0.35">
      <c r="A186" s="593" t="s">
        <v>242</v>
      </c>
      <c r="B186" s="998"/>
      <c r="C186" s="599" t="s">
        <v>59</v>
      </c>
      <c r="D186" s="998"/>
      <c r="E186" s="775"/>
      <c r="F186" s="775"/>
      <c r="G186" s="28"/>
      <c r="I186" s="28"/>
      <c r="J186" s="29"/>
      <c r="K186" s="29"/>
    </row>
    <row r="187" spans="1:17" s="203" customFormat="1" ht="15" thickTop="1" x14ac:dyDescent="0.3">
      <c r="A187" s="593" t="s">
        <v>247</v>
      </c>
      <c r="B187" s="998"/>
      <c r="C187" s="998"/>
      <c r="D187" s="1005"/>
      <c r="E187" s="775"/>
      <c r="F187" s="775"/>
      <c r="G187" s="28"/>
      <c r="I187" s="28"/>
      <c r="J187" s="29"/>
      <c r="K187" s="29"/>
    </row>
    <row r="188" spans="1:17" s="203" customFormat="1" x14ac:dyDescent="0.3">
      <c r="A188" s="593" t="s">
        <v>248</v>
      </c>
      <c r="B188" s="998"/>
      <c r="C188" s="998"/>
      <c r="D188" s="1005"/>
      <c r="E188" s="775"/>
      <c r="F188" s="775"/>
      <c r="G188" s="28"/>
      <c r="I188" s="28"/>
      <c r="J188" s="29"/>
      <c r="K188" s="29"/>
    </row>
    <row r="189" spans="1:17" s="203" customFormat="1" x14ac:dyDescent="0.3">
      <c r="A189" s="593" t="s">
        <v>243</v>
      </c>
      <c r="B189" s="998"/>
      <c r="C189" s="600">
        <v>0</v>
      </c>
      <c r="D189" s="774"/>
      <c r="E189" s="774"/>
      <c r="F189" s="774"/>
      <c r="G189" s="26"/>
      <c r="I189" s="26"/>
    </row>
    <row r="190" spans="1:17" s="203" customFormat="1" x14ac:dyDescent="0.3">
      <c r="A190" s="593"/>
      <c r="B190" s="1000"/>
      <c r="C190" s="592"/>
      <c r="D190" s="774"/>
      <c r="E190" s="774"/>
      <c r="F190" s="774"/>
      <c r="G190" s="26"/>
      <c r="I190" s="26"/>
    </row>
    <row r="191" spans="1:17" s="206" customFormat="1" ht="15" customHeight="1" x14ac:dyDescent="0.3">
      <c r="A191" s="1003" t="s">
        <v>240</v>
      </c>
      <c r="B191" s="1001"/>
      <c r="C191" s="780"/>
      <c r="D191" s="1001"/>
      <c r="E191" s="1001"/>
      <c r="F191" s="1001"/>
    </row>
    <row r="192" spans="1:17" s="206" customFormat="1" x14ac:dyDescent="0.3">
      <c r="A192" s="1004" t="s">
        <v>91</v>
      </c>
      <c r="B192" s="596"/>
      <c r="C192" s="810">
        <f>$B$4*C183</f>
        <v>0</v>
      </c>
      <c r="D192" s="596"/>
      <c r="E192" s="596"/>
      <c r="F192" s="596"/>
      <c r="H192" s="32"/>
    </row>
    <row r="193" spans="1:17" s="206" customFormat="1" x14ac:dyDescent="0.3">
      <c r="A193" s="596" t="s">
        <v>92</v>
      </c>
      <c r="B193" s="596"/>
      <c r="C193" s="810">
        <f>$B$5*C183</f>
        <v>0</v>
      </c>
      <c r="D193" s="1006"/>
      <c r="E193" s="596"/>
      <c r="F193" s="596"/>
      <c r="H193" s="33"/>
    </row>
    <row r="194" spans="1:17" s="206" customFormat="1" x14ac:dyDescent="0.3">
      <c r="A194" s="596" t="s">
        <v>107</v>
      </c>
      <c r="B194" s="596"/>
      <c r="C194" s="811">
        <f>IF(C186="Yes", B226, C189)</f>
        <v>0</v>
      </c>
      <c r="D194" s="596"/>
      <c r="E194" s="596"/>
      <c r="F194" s="596"/>
      <c r="H194" s="31"/>
    </row>
    <row r="195" spans="1:17" s="206" customFormat="1" x14ac:dyDescent="0.3">
      <c r="A195" s="596" t="s">
        <v>95</v>
      </c>
      <c r="B195" s="596"/>
      <c r="C195" s="810">
        <f>SUM(C192:C194)</f>
        <v>0</v>
      </c>
      <c r="D195" s="596"/>
      <c r="E195" s="596"/>
      <c r="F195" s="596"/>
      <c r="H195" s="203"/>
    </row>
    <row r="196" spans="1:17" s="206" customFormat="1" x14ac:dyDescent="0.3">
      <c r="A196" s="596"/>
      <c r="B196" s="1002"/>
      <c r="C196" s="596"/>
      <c r="D196" s="596"/>
      <c r="E196" s="596"/>
      <c r="F196" s="596"/>
      <c r="H196" s="203"/>
    </row>
    <row r="197" spans="1:17" s="203" customFormat="1" x14ac:dyDescent="0.3">
      <c r="A197" s="597" t="s">
        <v>110</v>
      </c>
      <c r="B197" s="784"/>
      <c r="C197" s="771"/>
      <c r="D197" s="772"/>
      <c r="E197" s="772"/>
      <c r="F197" s="772"/>
      <c r="G197" s="26"/>
      <c r="H197" s="26"/>
      <c r="I197" s="26"/>
    </row>
    <row r="198" spans="1:17" s="203" customFormat="1" x14ac:dyDescent="0.3">
      <c r="A198" s="593" t="s">
        <v>238</v>
      </c>
      <c r="B198" s="998"/>
      <c r="C198" s="598">
        <v>0</v>
      </c>
      <c r="D198" s="774"/>
      <c r="E198" s="774"/>
      <c r="F198" s="774"/>
      <c r="G198" s="30"/>
      <c r="H198" s="30"/>
      <c r="I198" s="30"/>
      <c r="J198" s="205"/>
      <c r="K198" s="205"/>
      <c r="L198" s="205"/>
      <c r="M198" s="205"/>
      <c r="N198" s="205"/>
      <c r="O198" s="205"/>
      <c r="P198" s="205"/>
      <c r="Q198" s="205"/>
    </row>
    <row r="199" spans="1:17" s="207" customFormat="1" x14ac:dyDescent="0.3">
      <c r="A199" s="592"/>
      <c r="B199" s="999"/>
      <c r="C199" s="592"/>
      <c r="D199" s="774"/>
      <c r="E199" s="774"/>
      <c r="F199" s="774"/>
      <c r="G199" s="30"/>
      <c r="H199" s="35"/>
      <c r="I199" s="35"/>
      <c r="J199" s="206"/>
      <c r="K199" s="206"/>
      <c r="L199" s="206"/>
      <c r="M199" s="206"/>
      <c r="N199" s="206"/>
      <c r="O199" s="206"/>
      <c r="P199" s="206"/>
      <c r="Q199" s="206"/>
    </row>
    <row r="200" spans="1:17" s="203" customFormat="1" ht="15" thickBot="1" x14ac:dyDescent="0.35">
      <c r="A200" s="593" t="s">
        <v>239</v>
      </c>
      <c r="B200" s="998"/>
      <c r="C200" s="809">
        <f>B235</f>
        <v>0</v>
      </c>
      <c r="D200" s="775"/>
      <c r="E200" s="775"/>
      <c r="F200" s="775"/>
      <c r="G200" s="28"/>
      <c r="I200" s="28"/>
      <c r="J200" s="29"/>
      <c r="K200" s="29"/>
    </row>
    <row r="201" spans="1:17" s="203" customFormat="1" ht="15.6" thickTop="1" thickBot="1" x14ac:dyDescent="0.35">
      <c r="A201" s="593" t="s">
        <v>244</v>
      </c>
      <c r="B201" s="998"/>
      <c r="C201" s="599" t="s">
        <v>59</v>
      </c>
      <c r="D201" s="775"/>
      <c r="E201" s="775"/>
      <c r="F201" s="775"/>
      <c r="G201" s="28"/>
      <c r="I201" s="28"/>
      <c r="J201" s="29"/>
      <c r="K201" s="29"/>
    </row>
    <row r="202" spans="1:17" s="203" customFormat="1" ht="15" thickTop="1" x14ac:dyDescent="0.3">
      <c r="A202" s="593" t="s">
        <v>247</v>
      </c>
      <c r="B202" s="998"/>
      <c r="C202" s="998"/>
      <c r="D202" s="1005"/>
      <c r="E202" s="775"/>
      <c r="F202" s="775"/>
      <c r="G202" s="28"/>
      <c r="I202" s="28"/>
      <c r="J202" s="29"/>
      <c r="K202" s="29"/>
    </row>
    <row r="203" spans="1:17" s="203" customFormat="1" x14ac:dyDescent="0.3">
      <c r="A203" s="593" t="s">
        <v>248</v>
      </c>
      <c r="B203" s="998"/>
      <c r="C203" s="998"/>
      <c r="D203" s="1005"/>
      <c r="E203" s="775"/>
      <c r="F203" s="775"/>
      <c r="G203" s="28"/>
      <c r="I203" s="28"/>
      <c r="J203" s="29"/>
      <c r="K203" s="29"/>
    </row>
    <row r="204" spans="1:17" s="203" customFormat="1" x14ac:dyDescent="0.3">
      <c r="A204" s="593" t="s">
        <v>259</v>
      </c>
      <c r="B204" s="998"/>
      <c r="C204" s="600">
        <v>0</v>
      </c>
      <c r="D204" s="774"/>
      <c r="E204" s="774"/>
      <c r="F204" s="774"/>
      <c r="G204" s="26"/>
      <c r="I204" s="26"/>
    </row>
    <row r="205" spans="1:17" s="203" customFormat="1" x14ac:dyDescent="0.3">
      <c r="A205" s="593"/>
      <c r="B205" s="998"/>
      <c r="C205" s="1000"/>
      <c r="D205" s="774"/>
      <c r="E205" s="774"/>
      <c r="F205" s="774"/>
      <c r="G205" s="26"/>
      <c r="I205" s="26"/>
    </row>
    <row r="206" spans="1:17" s="206" customFormat="1" ht="15" customHeight="1" x14ac:dyDescent="0.3">
      <c r="A206" s="1003" t="s">
        <v>245</v>
      </c>
      <c r="B206" s="1001"/>
      <c r="C206" s="1001"/>
      <c r="D206" s="1001"/>
      <c r="E206" s="1001"/>
      <c r="F206" s="1001"/>
    </row>
    <row r="207" spans="1:17" s="206" customFormat="1" x14ac:dyDescent="0.3">
      <c r="A207" s="1004" t="s">
        <v>91</v>
      </c>
      <c r="B207" s="596"/>
      <c r="C207" s="810">
        <f>$B$4*C198</f>
        <v>0</v>
      </c>
      <c r="D207" s="596"/>
      <c r="E207" s="596"/>
      <c r="F207" s="596"/>
      <c r="H207" s="32"/>
    </row>
    <row r="208" spans="1:17" s="206" customFormat="1" x14ac:dyDescent="0.3">
      <c r="A208" s="596" t="s">
        <v>92</v>
      </c>
      <c r="B208" s="596"/>
      <c r="C208" s="810">
        <f>$B$5*C198</f>
        <v>0</v>
      </c>
      <c r="D208" s="1006"/>
      <c r="E208" s="596"/>
      <c r="F208" s="596"/>
      <c r="H208" s="33"/>
    </row>
    <row r="209" spans="1:11" s="206" customFormat="1" x14ac:dyDescent="0.3">
      <c r="A209" s="596" t="s">
        <v>107</v>
      </c>
      <c r="B209" s="596"/>
      <c r="C209" s="811">
        <f>IF(C201="Yes", B235, C204)</f>
        <v>0</v>
      </c>
      <c r="D209" s="596"/>
      <c r="E209" s="596"/>
      <c r="F209" s="596"/>
      <c r="H209" s="31"/>
    </row>
    <row r="210" spans="1:11" s="206" customFormat="1" x14ac:dyDescent="0.3">
      <c r="A210" s="596" t="s">
        <v>95</v>
      </c>
      <c r="B210" s="596"/>
      <c r="C210" s="810">
        <f>SUM(C207:C209)</f>
        <v>0</v>
      </c>
      <c r="D210" s="596"/>
      <c r="E210" s="596"/>
      <c r="F210" s="596"/>
      <c r="H210" s="203"/>
    </row>
    <row r="211" spans="1:11" s="206" customFormat="1" x14ac:dyDescent="0.3">
      <c r="A211" s="596"/>
      <c r="B211" s="596"/>
      <c r="C211" s="1002"/>
      <c r="D211" s="596"/>
      <c r="E211" s="596"/>
      <c r="F211" s="596"/>
      <c r="H211" s="203"/>
    </row>
    <row r="212" spans="1:11" s="203" customFormat="1" x14ac:dyDescent="0.3">
      <c r="A212" s="1538" t="s">
        <v>254</v>
      </c>
      <c r="B212" s="1538"/>
      <c r="C212" s="1538"/>
      <c r="D212" s="1538"/>
      <c r="E212" s="1538"/>
      <c r="F212" s="1538"/>
      <c r="G212" s="26"/>
      <c r="I212" s="26"/>
    </row>
    <row r="213" spans="1:11" s="206" customFormat="1" x14ac:dyDescent="0.3">
      <c r="A213" s="1009" t="s">
        <v>91</v>
      </c>
      <c r="B213" s="596"/>
      <c r="C213" s="812">
        <f>C192+C207</f>
        <v>0</v>
      </c>
      <c r="D213" s="1011"/>
      <c r="E213" s="1011"/>
      <c r="F213" s="1011"/>
      <c r="H213" s="32"/>
    </row>
    <row r="214" spans="1:11" s="206" customFormat="1" x14ac:dyDescent="0.3">
      <c r="A214" s="1011" t="s">
        <v>92</v>
      </c>
      <c r="B214" s="596"/>
      <c r="C214" s="812">
        <f>C193+C208</f>
        <v>0</v>
      </c>
      <c r="D214" s="1012"/>
      <c r="E214" s="1011"/>
      <c r="F214" s="1011"/>
      <c r="H214" s="33"/>
    </row>
    <row r="215" spans="1:11" s="206" customFormat="1" x14ac:dyDescent="0.3">
      <c r="A215" s="1011" t="s">
        <v>107</v>
      </c>
      <c r="B215" s="596"/>
      <c r="C215" s="813">
        <f>C194+C209</f>
        <v>0</v>
      </c>
      <c r="D215" s="1011"/>
      <c r="E215" s="1011"/>
      <c r="F215" s="1011"/>
      <c r="H215" s="31"/>
    </row>
    <row r="216" spans="1:11" s="206" customFormat="1" x14ac:dyDescent="0.3">
      <c r="A216" s="1011" t="s">
        <v>95</v>
      </c>
      <c r="B216" s="596"/>
      <c r="C216" s="812">
        <f>SUM(C213:C215)</f>
        <v>0</v>
      </c>
      <c r="D216" s="1011"/>
      <c r="E216" s="1011"/>
      <c r="F216" s="1011"/>
      <c r="H216" s="203"/>
    </row>
    <row r="217" spans="1:11" s="203" customFormat="1" x14ac:dyDescent="0.3">
      <c r="A217" s="1539" t="s">
        <v>112</v>
      </c>
      <c r="B217" s="1539"/>
      <c r="C217" s="1539"/>
      <c r="D217" s="1539"/>
      <c r="E217" s="1539"/>
      <c r="F217" s="1539"/>
      <c r="G217" s="28"/>
      <c r="I217" s="28"/>
      <c r="J217" s="29"/>
      <c r="K217" s="29"/>
    </row>
    <row r="218" spans="1:11" s="203" customFormat="1" hidden="1" x14ac:dyDescent="0.3">
      <c r="A218" s="788" t="s">
        <v>255</v>
      </c>
      <c r="B218" s="786"/>
      <c r="C218" s="786"/>
      <c r="D218" s="786"/>
      <c r="E218" s="786"/>
      <c r="F218" s="786"/>
    </row>
    <row r="219" spans="1:11" s="203" customFormat="1" hidden="1" x14ac:dyDescent="0.3">
      <c r="A219" s="788" t="s">
        <v>109</v>
      </c>
      <c r="B219" s="786"/>
      <c r="C219" s="786"/>
      <c r="D219" s="786"/>
      <c r="E219" s="786"/>
      <c r="F219" s="786"/>
    </row>
    <row r="220" spans="1:11" s="203" customFormat="1" hidden="1" x14ac:dyDescent="0.3">
      <c r="A220" s="789" t="s">
        <v>79</v>
      </c>
      <c r="B220" s="790">
        <f>C192</f>
        <v>0</v>
      </c>
      <c r="C220" s="786"/>
      <c r="D220" s="786"/>
      <c r="E220" s="786"/>
      <c r="F220" s="786"/>
    </row>
    <row r="221" spans="1:11" s="203" customFormat="1" hidden="1" x14ac:dyDescent="0.3">
      <c r="A221" s="789" t="s">
        <v>78</v>
      </c>
      <c r="B221" s="790">
        <f>C193</f>
        <v>0</v>
      </c>
      <c r="C221" s="786"/>
      <c r="D221" s="786"/>
      <c r="E221" s="786"/>
      <c r="F221" s="786"/>
    </row>
    <row r="222" spans="1:11" s="203" customFormat="1" hidden="1" x14ac:dyDescent="0.3">
      <c r="A222" s="786" t="s">
        <v>4</v>
      </c>
      <c r="B222" s="790">
        <f>SUM(B220:B221)</f>
        <v>0</v>
      </c>
      <c r="C222" s="786"/>
      <c r="D222" s="786"/>
      <c r="E222" s="786"/>
      <c r="F222" s="786"/>
    </row>
    <row r="223" spans="1:11" s="203" customFormat="1" hidden="1" x14ac:dyDescent="0.3">
      <c r="A223" s="786"/>
      <c r="B223" s="786"/>
      <c r="C223" s="786"/>
      <c r="D223" s="786"/>
      <c r="E223" s="786"/>
      <c r="F223" s="786"/>
    </row>
    <row r="224" spans="1:11" s="203" customFormat="1" hidden="1" x14ac:dyDescent="0.3">
      <c r="A224" s="786" t="s">
        <v>89</v>
      </c>
      <c r="B224" s="790">
        <f>$B$7*C183</f>
        <v>0</v>
      </c>
      <c r="C224" s="786"/>
      <c r="D224" s="786"/>
      <c r="E224" s="786"/>
      <c r="F224" s="786"/>
    </row>
    <row r="225" spans="1:17" s="203" customFormat="1" hidden="1" x14ac:dyDescent="0.3">
      <c r="A225" s="786"/>
      <c r="B225" s="786"/>
      <c r="C225" s="786"/>
      <c r="D225" s="786"/>
      <c r="E225" s="786"/>
      <c r="F225" s="786"/>
    </row>
    <row r="226" spans="1:17" s="203" customFormat="1" hidden="1" x14ac:dyDescent="0.3">
      <c r="A226" s="786" t="s">
        <v>90</v>
      </c>
      <c r="B226" s="790">
        <f>B224-B222</f>
        <v>0</v>
      </c>
      <c r="C226" s="786"/>
      <c r="D226" s="786"/>
      <c r="E226" s="786"/>
      <c r="F226" s="786"/>
    </row>
    <row r="227" spans="1:17" s="203" customFormat="1" hidden="1" x14ac:dyDescent="0.3">
      <c r="A227" s="786"/>
      <c r="B227" s="790"/>
      <c r="C227" s="786"/>
      <c r="D227" s="786"/>
      <c r="E227" s="786"/>
      <c r="F227" s="786"/>
    </row>
    <row r="228" spans="1:17" s="203" customFormat="1" hidden="1" x14ac:dyDescent="0.3">
      <c r="A228" s="788" t="s">
        <v>110</v>
      </c>
      <c r="B228" s="786"/>
      <c r="C228" s="786"/>
      <c r="D228" s="786"/>
      <c r="E228" s="786"/>
      <c r="F228" s="786"/>
    </row>
    <row r="229" spans="1:17" s="203" customFormat="1" hidden="1" x14ac:dyDescent="0.3">
      <c r="A229" s="789" t="s">
        <v>79</v>
      </c>
      <c r="B229" s="790">
        <f>C207</f>
        <v>0</v>
      </c>
      <c r="C229" s="786"/>
      <c r="D229" s="786"/>
      <c r="E229" s="786"/>
      <c r="F229" s="786"/>
    </row>
    <row r="230" spans="1:17" s="203" customFormat="1" hidden="1" x14ac:dyDescent="0.3">
      <c r="A230" s="789" t="s">
        <v>78</v>
      </c>
      <c r="B230" s="790">
        <f>C208</f>
        <v>0</v>
      </c>
      <c r="C230" s="786"/>
      <c r="D230" s="786"/>
      <c r="E230" s="786"/>
      <c r="F230" s="786"/>
    </row>
    <row r="231" spans="1:17" s="203" customFormat="1" hidden="1" x14ac:dyDescent="0.3">
      <c r="A231" s="786" t="s">
        <v>4</v>
      </c>
      <c r="B231" s="790">
        <f>SUM(B229:B230)</f>
        <v>0</v>
      </c>
      <c r="C231" s="786"/>
      <c r="D231" s="786"/>
      <c r="E231" s="786"/>
      <c r="F231" s="786"/>
    </row>
    <row r="232" spans="1:17" s="203" customFormat="1" hidden="1" x14ac:dyDescent="0.3">
      <c r="A232" s="786"/>
      <c r="B232" s="786"/>
      <c r="C232" s="786"/>
      <c r="D232" s="786"/>
      <c r="E232" s="786"/>
      <c r="F232" s="786"/>
    </row>
    <row r="233" spans="1:17" s="203" customFormat="1" hidden="1" x14ac:dyDescent="0.3">
      <c r="A233" s="786" t="s">
        <v>89</v>
      </c>
      <c r="B233" s="790">
        <f>$B$7*C198</f>
        <v>0</v>
      </c>
      <c r="C233" s="786"/>
      <c r="D233" s="786"/>
      <c r="E233" s="786"/>
      <c r="F233" s="786"/>
    </row>
    <row r="234" spans="1:17" s="203" customFormat="1" hidden="1" x14ac:dyDescent="0.3">
      <c r="A234" s="786"/>
      <c r="B234" s="786"/>
      <c r="C234" s="786"/>
      <c r="D234" s="786"/>
      <c r="E234" s="786"/>
      <c r="F234" s="786"/>
    </row>
    <row r="235" spans="1:17" s="203" customFormat="1" hidden="1" x14ac:dyDescent="0.3">
      <c r="A235" s="786" t="s">
        <v>90</v>
      </c>
      <c r="B235" s="790">
        <f>B233-B231</f>
        <v>0</v>
      </c>
      <c r="C235" s="786"/>
      <c r="D235" s="786"/>
      <c r="E235" s="786"/>
      <c r="F235" s="786"/>
    </row>
    <row r="236" spans="1:17" s="203" customFormat="1" x14ac:dyDescent="0.3">
      <c r="A236" s="773"/>
      <c r="B236" s="773"/>
      <c r="C236" s="773"/>
      <c r="D236" s="773"/>
      <c r="E236" s="773"/>
      <c r="F236" s="773"/>
    </row>
    <row r="237" spans="1:17" s="203" customFormat="1" x14ac:dyDescent="0.3">
      <c r="A237" s="1540" t="s">
        <v>256</v>
      </c>
      <c r="B237" s="1540"/>
      <c r="C237" s="1540"/>
      <c r="D237" s="1540"/>
      <c r="E237" s="1540"/>
      <c r="F237" s="1540"/>
      <c r="G237" s="26"/>
      <c r="H237" s="26"/>
      <c r="I237" s="26"/>
    </row>
    <row r="238" spans="1:17" s="203" customFormat="1" x14ac:dyDescent="0.3">
      <c r="A238" s="597" t="s">
        <v>109</v>
      </c>
      <c r="B238" s="784"/>
      <c r="C238" s="771"/>
      <c r="D238" s="772"/>
      <c r="E238" s="772"/>
      <c r="F238" s="772"/>
      <c r="G238" s="26"/>
      <c r="H238" s="26"/>
      <c r="I238" s="26"/>
    </row>
    <row r="239" spans="1:17" s="203" customFormat="1" x14ac:dyDescent="0.3">
      <c r="A239" s="593" t="s">
        <v>237</v>
      </c>
      <c r="B239" s="998"/>
      <c r="C239" s="598">
        <v>0</v>
      </c>
      <c r="D239" s="774"/>
      <c r="E239" s="774"/>
      <c r="F239" s="774"/>
      <c r="G239" s="30"/>
      <c r="H239" s="30"/>
      <c r="I239" s="30"/>
      <c r="J239" s="205"/>
      <c r="K239" s="205"/>
      <c r="L239" s="205"/>
      <c r="M239" s="205"/>
      <c r="N239" s="205"/>
      <c r="O239" s="205"/>
      <c r="P239" s="205"/>
      <c r="Q239" s="205"/>
    </row>
    <row r="240" spans="1:17" s="207" customFormat="1" x14ac:dyDescent="0.3">
      <c r="A240" s="592"/>
      <c r="B240" s="999"/>
      <c r="C240" s="592"/>
      <c r="D240" s="774"/>
      <c r="E240" s="774"/>
      <c r="F240" s="774"/>
      <c r="G240" s="30"/>
      <c r="H240" s="35"/>
      <c r="I240" s="35"/>
      <c r="J240" s="206"/>
      <c r="K240" s="206"/>
      <c r="L240" s="206"/>
      <c r="M240" s="206"/>
      <c r="N240" s="206"/>
      <c r="O240" s="206"/>
      <c r="P240" s="206"/>
      <c r="Q240" s="206"/>
    </row>
    <row r="241" spans="1:17" s="203" customFormat="1" ht="15" thickBot="1" x14ac:dyDescent="0.35">
      <c r="A241" s="593" t="s">
        <v>239</v>
      </c>
      <c r="B241" s="998"/>
      <c r="C241" s="809">
        <f>B282</f>
        <v>0</v>
      </c>
      <c r="D241" s="775"/>
      <c r="E241" s="775"/>
      <c r="F241" s="775"/>
      <c r="G241" s="28"/>
      <c r="I241" s="28"/>
      <c r="J241" s="29"/>
      <c r="K241" s="29"/>
    </row>
    <row r="242" spans="1:17" s="203" customFormat="1" ht="15.6" thickTop="1" thickBot="1" x14ac:dyDescent="0.35">
      <c r="A242" s="593" t="s">
        <v>242</v>
      </c>
      <c r="B242" s="998"/>
      <c r="C242" s="599" t="s">
        <v>59</v>
      </c>
      <c r="D242" s="998"/>
      <c r="E242" s="775"/>
      <c r="F242" s="775"/>
      <c r="G242" s="28"/>
      <c r="I242" s="28"/>
      <c r="J242" s="29"/>
      <c r="K242" s="29"/>
    </row>
    <row r="243" spans="1:17" s="203" customFormat="1" ht="15" thickTop="1" x14ac:dyDescent="0.3">
      <c r="A243" s="593" t="s">
        <v>247</v>
      </c>
      <c r="B243" s="998"/>
      <c r="C243" s="998"/>
      <c r="D243" s="1005"/>
      <c r="E243" s="775"/>
      <c r="F243" s="775"/>
      <c r="G243" s="28"/>
      <c r="I243" s="28"/>
      <c r="J243" s="29"/>
      <c r="K243" s="29"/>
    </row>
    <row r="244" spans="1:17" s="203" customFormat="1" x14ac:dyDescent="0.3">
      <c r="A244" s="593" t="s">
        <v>248</v>
      </c>
      <c r="B244" s="998"/>
      <c r="C244" s="998"/>
      <c r="D244" s="1005"/>
      <c r="E244" s="775"/>
      <c r="F244" s="775"/>
      <c r="G244" s="28"/>
      <c r="I244" s="28"/>
      <c r="J244" s="29"/>
      <c r="K244" s="29"/>
    </row>
    <row r="245" spans="1:17" s="203" customFormat="1" x14ac:dyDescent="0.3">
      <c r="A245" s="593" t="s">
        <v>243</v>
      </c>
      <c r="B245" s="998"/>
      <c r="C245" s="600">
        <v>0</v>
      </c>
      <c r="D245" s="774"/>
      <c r="E245" s="774"/>
      <c r="F245" s="774"/>
      <c r="G245" s="26"/>
      <c r="I245" s="26"/>
    </row>
    <row r="246" spans="1:17" s="203" customFormat="1" x14ac:dyDescent="0.3">
      <c r="A246" s="593"/>
      <c r="B246" s="1000"/>
      <c r="C246" s="592"/>
      <c r="D246" s="774"/>
      <c r="E246" s="774"/>
      <c r="F246" s="774"/>
      <c r="G246" s="26"/>
      <c r="I246" s="26"/>
    </row>
    <row r="247" spans="1:17" s="206" customFormat="1" ht="15" customHeight="1" x14ac:dyDescent="0.3">
      <c r="A247" s="1003" t="s">
        <v>240</v>
      </c>
      <c r="B247" s="1001"/>
      <c r="C247" s="1001"/>
      <c r="D247" s="1001"/>
      <c r="E247" s="1001"/>
      <c r="F247" s="1001"/>
    </row>
    <row r="248" spans="1:17" s="206" customFormat="1" x14ac:dyDescent="0.3">
      <c r="A248" s="1004" t="s">
        <v>91</v>
      </c>
      <c r="B248" s="596"/>
      <c r="C248" s="810">
        <f>$B$4*C239</f>
        <v>0</v>
      </c>
      <c r="D248" s="596"/>
      <c r="E248" s="596"/>
      <c r="F248" s="596"/>
      <c r="H248" s="32"/>
    </row>
    <row r="249" spans="1:17" s="206" customFormat="1" x14ac:dyDescent="0.3">
      <c r="A249" s="596" t="s">
        <v>92</v>
      </c>
      <c r="B249" s="596"/>
      <c r="C249" s="810">
        <f>$B$5*C239</f>
        <v>0</v>
      </c>
      <c r="D249" s="1006"/>
      <c r="E249" s="596"/>
      <c r="F249" s="596"/>
      <c r="H249" s="33"/>
    </row>
    <row r="250" spans="1:17" s="206" customFormat="1" x14ac:dyDescent="0.3">
      <c r="A250" s="596" t="s">
        <v>107</v>
      </c>
      <c r="B250" s="596"/>
      <c r="C250" s="811">
        <f>IF(C242="Yes", B282, C245)</f>
        <v>0</v>
      </c>
      <c r="D250" s="596"/>
      <c r="E250" s="596"/>
      <c r="F250" s="815"/>
      <c r="H250" s="31"/>
    </row>
    <row r="251" spans="1:17" s="206" customFormat="1" x14ac:dyDescent="0.3">
      <c r="A251" s="596" t="s">
        <v>95</v>
      </c>
      <c r="B251" s="596"/>
      <c r="C251" s="810">
        <f>SUM(C248:C250)</f>
        <v>0</v>
      </c>
      <c r="D251" s="596"/>
      <c r="E251" s="596"/>
      <c r="F251" s="596"/>
      <c r="H251" s="203"/>
    </row>
    <row r="252" spans="1:17" s="206" customFormat="1" x14ac:dyDescent="0.3">
      <c r="A252" s="596"/>
      <c r="B252" s="1002"/>
      <c r="C252" s="596"/>
      <c r="D252" s="596"/>
      <c r="E252" s="596"/>
      <c r="F252" s="596"/>
      <c r="H252" s="203"/>
    </row>
    <row r="253" spans="1:17" s="203" customFormat="1" x14ac:dyDescent="0.3">
      <c r="A253" s="597" t="s">
        <v>110</v>
      </c>
      <c r="B253" s="784"/>
      <c r="C253" s="771"/>
      <c r="D253" s="772"/>
      <c r="E253" s="772"/>
      <c r="F253" s="772"/>
      <c r="G253" s="26"/>
      <c r="H253" s="26"/>
      <c r="I253" s="26"/>
    </row>
    <row r="254" spans="1:17" s="203" customFormat="1" x14ac:dyDescent="0.3">
      <c r="A254" s="593" t="s">
        <v>238</v>
      </c>
      <c r="B254" s="998"/>
      <c r="C254" s="598">
        <v>0</v>
      </c>
      <c r="D254" s="774"/>
      <c r="E254" s="774"/>
      <c r="F254" s="774"/>
      <c r="G254" s="30"/>
      <c r="H254" s="30"/>
      <c r="I254" s="30"/>
      <c r="J254" s="205"/>
      <c r="K254" s="205"/>
      <c r="L254" s="205"/>
      <c r="M254" s="205"/>
      <c r="N254" s="205"/>
      <c r="O254" s="205"/>
      <c r="P254" s="205"/>
      <c r="Q254" s="205"/>
    </row>
    <row r="255" spans="1:17" s="207" customFormat="1" x14ac:dyDescent="0.3">
      <c r="A255" s="592"/>
      <c r="B255" s="999"/>
      <c r="C255" s="592"/>
      <c r="D255" s="774"/>
      <c r="E255" s="774"/>
      <c r="F255" s="774"/>
      <c r="G255" s="30"/>
      <c r="H255" s="35"/>
      <c r="I255" s="35"/>
      <c r="J255" s="206"/>
      <c r="K255" s="206"/>
      <c r="L255" s="206"/>
      <c r="M255" s="206"/>
      <c r="N255" s="206"/>
      <c r="O255" s="206"/>
      <c r="P255" s="206"/>
      <c r="Q255" s="206"/>
    </row>
    <row r="256" spans="1:17" s="203" customFormat="1" ht="15" thickBot="1" x14ac:dyDescent="0.35">
      <c r="A256" s="593" t="s">
        <v>239</v>
      </c>
      <c r="B256" s="998"/>
      <c r="C256" s="809">
        <f>B291</f>
        <v>0</v>
      </c>
      <c r="D256" s="775"/>
      <c r="E256" s="775"/>
      <c r="F256" s="775"/>
      <c r="G256" s="28"/>
      <c r="I256" s="28"/>
      <c r="J256" s="29"/>
      <c r="K256" s="29"/>
    </row>
    <row r="257" spans="1:11" s="203" customFormat="1" ht="15.6" thickTop="1" thickBot="1" x14ac:dyDescent="0.35">
      <c r="A257" s="593" t="s">
        <v>244</v>
      </c>
      <c r="B257" s="998"/>
      <c r="C257" s="599" t="s">
        <v>59</v>
      </c>
      <c r="D257" s="775"/>
      <c r="E257" s="775"/>
      <c r="F257" s="775"/>
      <c r="G257" s="28"/>
      <c r="I257" s="28"/>
      <c r="J257" s="29"/>
      <c r="K257" s="29"/>
    </row>
    <row r="258" spans="1:11" s="203" customFormat="1" ht="15" thickTop="1" x14ac:dyDescent="0.3">
      <c r="A258" s="593" t="s">
        <v>247</v>
      </c>
      <c r="B258" s="998"/>
      <c r="C258" s="998"/>
      <c r="D258" s="1005"/>
      <c r="E258" s="775"/>
      <c r="F258" s="775"/>
      <c r="G258" s="28"/>
      <c r="I258" s="28"/>
      <c r="J258" s="29"/>
      <c r="K258" s="29"/>
    </row>
    <row r="259" spans="1:11" s="203" customFormat="1" x14ac:dyDescent="0.3">
      <c r="A259" s="593" t="s">
        <v>248</v>
      </c>
      <c r="B259" s="998"/>
      <c r="C259" s="998"/>
      <c r="D259" s="1005"/>
      <c r="E259" s="775"/>
      <c r="F259" s="775"/>
      <c r="G259" s="28"/>
      <c r="I259" s="28"/>
      <c r="J259" s="29"/>
      <c r="K259" s="29"/>
    </row>
    <row r="260" spans="1:11" s="203" customFormat="1" x14ac:dyDescent="0.3">
      <c r="A260" s="593" t="s">
        <v>259</v>
      </c>
      <c r="B260" s="998"/>
      <c r="C260" s="600">
        <v>0</v>
      </c>
      <c r="D260" s="774"/>
      <c r="E260" s="774"/>
      <c r="F260" s="774"/>
      <c r="G260" s="26"/>
      <c r="I260" s="26"/>
    </row>
    <row r="261" spans="1:11" s="203" customFormat="1" x14ac:dyDescent="0.3">
      <c r="A261" s="593"/>
      <c r="B261" s="998"/>
      <c r="C261" s="1000"/>
      <c r="D261" s="774"/>
      <c r="E261" s="774"/>
      <c r="F261" s="774"/>
      <c r="G261" s="26"/>
      <c r="I261" s="26"/>
    </row>
    <row r="262" spans="1:11" s="206" customFormat="1" ht="15" customHeight="1" x14ac:dyDescent="0.3">
      <c r="A262" s="1003" t="s">
        <v>245</v>
      </c>
      <c r="B262" s="1001"/>
      <c r="C262" s="1001"/>
      <c r="D262" s="1001"/>
      <c r="E262" s="1001"/>
      <c r="F262" s="1001"/>
    </row>
    <row r="263" spans="1:11" s="206" customFormat="1" x14ac:dyDescent="0.3">
      <c r="A263" s="1004" t="s">
        <v>91</v>
      </c>
      <c r="B263" s="596"/>
      <c r="C263" s="810">
        <f>$B$4*C254</f>
        <v>0</v>
      </c>
      <c r="D263" s="596"/>
      <c r="E263" s="596"/>
      <c r="F263" s="596"/>
      <c r="H263" s="32"/>
    </row>
    <row r="264" spans="1:11" s="206" customFormat="1" x14ac:dyDescent="0.3">
      <c r="A264" s="596" t="s">
        <v>92</v>
      </c>
      <c r="B264" s="596"/>
      <c r="C264" s="810">
        <f>$B$5*C254</f>
        <v>0</v>
      </c>
      <c r="D264" s="1006"/>
      <c r="E264" s="596"/>
      <c r="F264" s="596"/>
      <c r="H264" s="33"/>
    </row>
    <row r="265" spans="1:11" s="206" customFormat="1" x14ac:dyDescent="0.3">
      <c r="A265" s="596" t="s">
        <v>107</v>
      </c>
      <c r="B265" s="596"/>
      <c r="C265" s="811">
        <f>IF(C257="Yes", B291, C260)</f>
        <v>0</v>
      </c>
      <c r="D265" s="596"/>
      <c r="E265" s="596"/>
      <c r="F265" s="596"/>
      <c r="H265" s="31"/>
    </row>
    <row r="266" spans="1:11" s="206" customFormat="1" x14ac:dyDescent="0.3">
      <c r="A266" s="596" t="s">
        <v>95</v>
      </c>
      <c r="B266" s="596"/>
      <c r="C266" s="810">
        <f>SUM(C263:C265)</f>
        <v>0</v>
      </c>
      <c r="D266" s="596"/>
      <c r="E266" s="596"/>
      <c r="F266" s="596"/>
      <c r="H266" s="203"/>
    </row>
    <row r="267" spans="1:11" s="206" customFormat="1" x14ac:dyDescent="0.3">
      <c r="A267" s="596"/>
      <c r="B267" s="596"/>
      <c r="C267" s="1002"/>
      <c r="D267" s="596"/>
      <c r="E267" s="596"/>
      <c r="F267" s="1016"/>
      <c r="H267" s="203"/>
    </row>
    <row r="268" spans="1:11" s="203" customFormat="1" x14ac:dyDescent="0.3">
      <c r="A268" s="1538" t="s">
        <v>257</v>
      </c>
      <c r="B268" s="1538"/>
      <c r="C268" s="1538"/>
      <c r="D268" s="1538"/>
      <c r="E268" s="1538"/>
      <c r="F268" s="1538"/>
      <c r="G268" s="26"/>
      <c r="I268" s="26"/>
    </row>
    <row r="269" spans="1:11" s="206" customFormat="1" x14ac:dyDescent="0.3">
      <c r="A269" s="1009" t="s">
        <v>91</v>
      </c>
      <c r="B269" s="596"/>
      <c r="C269" s="812">
        <f>C248+C263</f>
        <v>0</v>
      </c>
      <c r="D269" s="1011"/>
      <c r="E269" s="1011"/>
      <c r="F269" s="1011"/>
      <c r="H269" s="32"/>
    </row>
    <row r="270" spans="1:11" s="206" customFormat="1" x14ac:dyDescent="0.3">
      <c r="A270" s="1011" t="s">
        <v>92</v>
      </c>
      <c r="B270" s="596"/>
      <c r="C270" s="812">
        <f>C249+C264</f>
        <v>0</v>
      </c>
      <c r="D270" s="1012"/>
      <c r="E270" s="1011"/>
      <c r="F270" s="1011"/>
      <c r="H270" s="33"/>
    </row>
    <row r="271" spans="1:11" s="206" customFormat="1" x14ac:dyDescent="0.3">
      <c r="A271" s="1011" t="s">
        <v>107</v>
      </c>
      <c r="B271" s="596"/>
      <c r="C271" s="813">
        <f>C250+C265</f>
        <v>0</v>
      </c>
      <c r="D271" s="1011"/>
      <c r="E271" s="1011"/>
      <c r="F271" s="1011"/>
      <c r="H271" s="31"/>
    </row>
    <row r="272" spans="1:11" s="206" customFormat="1" x14ac:dyDescent="0.3">
      <c r="A272" s="1011" t="s">
        <v>95</v>
      </c>
      <c r="B272" s="596"/>
      <c r="C272" s="812">
        <f>SUM(C269:C271)</f>
        <v>0</v>
      </c>
      <c r="D272" s="1011"/>
      <c r="E272" s="1011"/>
      <c r="F272" s="1011"/>
      <c r="H272" s="203"/>
    </row>
    <row r="273" spans="1:11" s="203" customFormat="1" x14ac:dyDescent="0.3">
      <c r="A273" s="1539" t="s">
        <v>112</v>
      </c>
      <c r="B273" s="1539"/>
      <c r="C273" s="1539"/>
      <c r="D273" s="1539"/>
      <c r="E273" s="1539"/>
      <c r="F273" s="1539"/>
      <c r="G273" s="28"/>
      <c r="I273" s="28"/>
      <c r="J273" s="29"/>
      <c r="K273" s="29"/>
    </row>
    <row r="274" spans="1:11" s="203" customFormat="1" hidden="1" x14ac:dyDescent="0.3">
      <c r="A274" s="788" t="s">
        <v>258</v>
      </c>
      <c r="B274" s="786"/>
      <c r="C274" s="786"/>
      <c r="D274" s="786"/>
      <c r="E274" s="786"/>
      <c r="F274" s="786"/>
    </row>
    <row r="275" spans="1:11" s="203" customFormat="1" hidden="1" x14ac:dyDescent="0.3">
      <c r="A275" s="788" t="s">
        <v>109</v>
      </c>
      <c r="B275" s="786"/>
      <c r="C275" s="786"/>
      <c r="D275" s="786"/>
      <c r="E275" s="786"/>
      <c r="F275" s="786"/>
    </row>
    <row r="276" spans="1:11" s="203" customFormat="1" hidden="1" x14ac:dyDescent="0.3">
      <c r="A276" s="789" t="s">
        <v>79</v>
      </c>
      <c r="B276" s="790">
        <f>C248</f>
        <v>0</v>
      </c>
      <c r="C276" s="786"/>
      <c r="D276" s="786"/>
      <c r="E276" s="786"/>
      <c r="F276" s="786"/>
    </row>
    <row r="277" spans="1:11" s="203" customFormat="1" hidden="1" x14ac:dyDescent="0.3">
      <c r="A277" s="789" t="s">
        <v>78</v>
      </c>
      <c r="B277" s="790">
        <f>C249</f>
        <v>0</v>
      </c>
      <c r="C277" s="786"/>
      <c r="D277" s="786"/>
      <c r="E277" s="786"/>
      <c r="F277" s="786"/>
    </row>
    <row r="278" spans="1:11" s="203" customFormat="1" hidden="1" x14ac:dyDescent="0.3">
      <c r="A278" s="786" t="s">
        <v>4</v>
      </c>
      <c r="B278" s="790">
        <f>SUM(B276:B277)</f>
        <v>0</v>
      </c>
      <c r="C278" s="786"/>
      <c r="D278" s="786"/>
      <c r="E278" s="786"/>
      <c r="F278" s="786"/>
    </row>
    <row r="279" spans="1:11" s="203" customFormat="1" hidden="1" x14ac:dyDescent="0.3">
      <c r="A279" s="786"/>
      <c r="B279" s="786"/>
      <c r="C279" s="786"/>
      <c r="D279" s="786"/>
      <c r="E279" s="786"/>
      <c r="F279" s="786"/>
    </row>
    <row r="280" spans="1:11" s="203" customFormat="1" hidden="1" x14ac:dyDescent="0.3">
      <c r="A280" s="786" t="s">
        <v>89</v>
      </c>
      <c r="B280" s="790">
        <f>$B$7*C239</f>
        <v>0</v>
      </c>
      <c r="C280" s="786"/>
      <c r="D280" s="786"/>
      <c r="E280" s="786"/>
      <c r="F280" s="786"/>
    </row>
    <row r="281" spans="1:11" s="203" customFormat="1" hidden="1" x14ac:dyDescent="0.3">
      <c r="A281" s="786"/>
      <c r="B281" s="786"/>
      <c r="C281" s="786"/>
      <c r="D281" s="786"/>
      <c r="E281" s="786"/>
      <c r="F281" s="786"/>
    </row>
    <row r="282" spans="1:11" s="203" customFormat="1" hidden="1" x14ac:dyDescent="0.3">
      <c r="A282" s="786" t="s">
        <v>90</v>
      </c>
      <c r="B282" s="790">
        <f>B280-B278</f>
        <v>0</v>
      </c>
      <c r="C282" s="786"/>
      <c r="D282" s="786"/>
      <c r="E282" s="786"/>
      <c r="F282" s="786"/>
    </row>
    <row r="283" spans="1:11" s="203" customFormat="1" hidden="1" x14ac:dyDescent="0.3">
      <c r="A283" s="786"/>
      <c r="B283" s="790"/>
      <c r="C283" s="786"/>
      <c r="D283" s="786"/>
      <c r="E283" s="786"/>
      <c r="F283" s="786"/>
    </row>
    <row r="284" spans="1:11" s="203" customFormat="1" hidden="1" x14ac:dyDescent="0.3">
      <c r="A284" s="788" t="s">
        <v>110</v>
      </c>
      <c r="B284" s="786"/>
      <c r="C284" s="786"/>
      <c r="D284" s="786"/>
      <c r="E284" s="786"/>
      <c r="F284" s="786"/>
    </row>
    <row r="285" spans="1:11" s="203" customFormat="1" hidden="1" x14ac:dyDescent="0.3">
      <c r="A285" s="789" t="s">
        <v>79</v>
      </c>
      <c r="B285" s="790">
        <f>C263</f>
        <v>0</v>
      </c>
      <c r="C285" s="786"/>
      <c r="D285" s="786"/>
      <c r="E285" s="786"/>
      <c r="F285" s="786"/>
    </row>
    <row r="286" spans="1:11" s="203" customFormat="1" hidden="1" x14ac:dyDescent="0.3">
      <c r="A286" s="789" t="s">
        <v>78</v>
      </c>
      <c r="B286" s="790">
        <f>C264</f>
        <v>0</v>
      </c>
      <c r="C286" s="786"/>
      <c r="D286" s="786"/>
      <c r="E286" s="786"/>
      <c r="F286" s="786"/>
    </row>
    <row r="287" spans="1:11" s="203" customFormat="1" hidden="1" x14ac:dyDescent="0.3">
      <c r="A287" s="786" t="s">
        <v>4</v>
      </c>
      <c r="B287" s="790">
        <f>SUM(B285:B286)</f>
        <v>0</v>
      </c>
      <c r="C287" s="786"/>
      <c r="D287" s="786"/>
      <c r="E287" s="786"/>
      <c r="F287" s="786"/>
    </row>
    <row r="288" spans="1:11" s="203" customFormat="1" hidden="1" x14ac:dyDescent="0.3">
      <c r="A288" s="786"/>
      <c r="B288" s="786"/>
      <c r="C288" s="786"/>
      <c r="D288" s="786"/>
      <c r="E288" s="786"/>
      <c r="F288" s="786"/>
    </row>
    <row r="289" spans="1:6" s="203" customFormat="1" hidden="1" x14ac:dyDescent="0.3">
      <c r="A289" s="786" t="s">
        <v>89</v>
      </c>
      <c r="B289" s="790">
        <f>$B$7*C254</f>
        <v>0</v>
      </c>
      <c r="C289" s="786"/>
      <c r="D289" s="786"/>
      <c r="E289" s="786"/>
      <c r="F289" s="786"/>
    </row>
    <row r="290" spans="1:6" s="203" customFormat="1" hidden="1" x14ac:dyDescent="0.3">
      <c r="A290" s="786"/>
      <c r="B290" s="786"/>
      <c r="C290" s="786"/>
      <c r="D290" s="786"/>
      <c r="E290" s="786"/>
      <c r="F290" s="786"/>
    </row>
    <row r="291" spans="1:6" s="203" customFormat="1" hidden="1" x14ac:dyDescent="0.3">
      <c r="A291" s="786" t="s">
        <v>90</v>
      </c>
      <c r="B291" s="790">
        <f>B289-B287</f>
        <v>0</v>
      </c>
      <c r="C291" s="786"/>
      <c r="D291" s="786"/>
      <c r="E291" s="786"/>
      <c r="F291" s="786"/>
    </row>
    <row r="292" spans="1:6" s="203" customFormat="1" hidden="1" x14ac:dyDescent="0.3">
      <c r="A292" s="786"/>
      <c r="B292" s="786"/>
      <c r="C292" s="786"/>
      <c r="D292" s="786"/>
      <c r="E292" s="786"/>
      <c r="F292" s="786"/>
    </row>
    <row r="293" spans="1:6" s="203" customFormat="1" x14ac:dyDescent="0.3">
      <c r="A293" s="773"/>
      <c r="B293" s="773"/>
      <c r="C293" s="773"/>
      <c r="D293" s="773"/>
      <c r="E293" s="773"/>
      <c r="F293" s="773"/>
    </row>
    <row r="294" spans="1:6" s="203" customFormat="1" x14ac:dyDescent="0.3">
      <c r="A294" s="1545" t="s">
        <v>88</v>
      </c>
      <c r="B294" s="1545"/>
      <c r="C294" s="1545"/>
      <c r="D294" s="1545"/>
      <c r="E294" s="1545"/>
      <c r="F294" s="1545"/>
    </row>
    <row r="295" spans="1:6" s="203" customFormat="1" x14ac:dyDescent="0.3">
      <c r="A295" s="792" t="s">
        <v>87</v>
      </c>
      <c r="B295" s="793" t="s">
        <v>80</v>
      </c>
      <c r="C295" s="793" t="s">
        <v>93</v>
      </c>
      <c r="D295" s="794"/>
      <c r="E295" s="794"/>
      <c r="F295" s="794"/>
    </row>
    <row r="296" spans="1:6" s="203" customFormat="1" x14ac:dyDescent="0.3">
      <c r="A296" s="816">
        <v>1024</v>
      </c>
      <c r="B296" s="794" t="s">
        <v>81</v>
      </c>
      <c r="C296" s="794" t="s">
        <v>76</v>
      </c>
      <c r="D296" s="794"/>
      <c r="E296" s="794"/>
      <c r="F296" s="794"/>
    </row>
    <row r="297" spans="1:6" s="203" customFormat="1" x14ac:dyDescent="0.3">
      <c r="A297" s="816">
        <v>30720</v>
      </c>
      <c r="B297" s="794" t="s">
        <v>82</v>
      </c>
      <c r="C297" s="794" t="s">
        <v>77</v>
      </c>
      <c r="D297" s="794"/>
      <c r="E297" s="794"/>
      <c r="F297" s="794"/>
    </row>
    <row r="298" spans="1:6" s="203" customFormat="1" x14ac:dyDescent="0.3">
      <c r="A298" s="816">
        <v>22528</v>
      </c>
      <c r="B298" s="794" t="s">
        <v>83</v>
      </c>
      <c r="C298" s="794" t="s">
        <v>77</v>
      </c>
      <c r="D298" s="794"/>
      <c r="E298" s="794"/>
      <c r="F298" s="794"/>
    </row>
    <row r="299" spans="1:6" s="203" customFormat="1" x14ac:dyDescent="0.3">
      <c r="A299" s="816">
        <v>17408</v>
      </c>
      <c r="B299" s="794" t="s">
        <v>84</v>
      </c>
      <c r="C299" s="794" t="s">
        <v>77</v>
      </c>
      <c r="D299" s="794"/>
      <c r="E299" s="794"/>
      <c r="F299" s="794"/>
    </row>
    <row r="300" spans="1:6" s="203" customFormat="1" x14ac:dyDescent="0.3">
      <c r="A300" s="816">
        <v>14336</v>
      </c>
      <c r="B300" s="794" t="s">
        <v>85</v>
      </c>
      <c r="C300" s="794" t="s">
        <v>77</v>
      </c>
      <c r="D300" s="794"/>
      <c r="E300" s="794"/>
      <c r="F300" s="794"/>
    </row>
    <row r="301" spans="1:6" s="203" customFormat="1" x14ac:dyDescent="0.3">
      <c r="A301" s="817">
        <v>14336</v>
      </c>
      <c r="B301" s="795" t="s">
        <v>86</v>
      </c>
      <c r="C301" s="795" t="s">
        <v>77</v>
      </c>
      <c r="D301" s="795"/>
      <c r="E301" s="795"/>
      <c r="F301" s="795"/>
    </row>
    <row r="302" spans="1:6" s="203" customFormat="1" x14ac:dyDescent="0.3">
      <c r="A302" s="795"/>
      <c r="B302" s="795"/>
      <c r="C302" s="795"/>
      <c r="D302" s="795"/>
      <c r="E302" s="795"/>
      <c r="F302" s="795"/>
    </row>
    <row r="303" spans="1:6" s="203" customFormat="1" x14ac:dyDescent="0.3">
      <c r="A303" s="773"/>
      <c r="B303" s="773"/>
      <c r="C303" s="773"/>
      <c r="D303" s="773"/>
      <c r="E303" s="773"/>
      <c r="F303" s="773"/>
    </row>
    <row r="304" spans="1:6" s="203" customFormat="1" x14ac:dyDescent="0.3">
      <c r="A304" s="796" t="s">
        <v>94</v>
      </c>
      <c r="B304" s="797"/>
      <c r="C304" s="797"/>
      <c r="D304" s="797"/>
      <c r="E304" s="797"/>
      <c r="F304" s="798"/>
    </row>
    <row r="305" spans="1:6" s="203" customFormat="1" x14ac:dyDescent="0.3">
      <c r="A305" s="799" t="s">
        <v>96</v>
      </c>
      <c r="B305" s="595"/>
      <c r="C305" s="595"/>
      <c r="D305" s="595"/>
      <c r="E305" s="595"/>
      <c r="F305" s="800"/>
    </row>
    <row r="306" spans="1:6" s="203" customFormat="1" x14ac:dyDescent="0.3">
      <c r="A306" s="799" t="s">
        <v>101</v>
      </c>
      <c r="B306" s="595"/>
      <c r="C306" s="595"/>
      <c r="D306" s="595"/>
      <c r="E306" s="595"/>
      <c r="F306" s="800"/>
    </row>
    <row r="307" spans="1:6" s="203" customFormat="1" x14ac:dyDescent="0.3">
      <c r="A307" s="801" t="s">
        <v>102</v>
      </c>
      <c r="B307" s="802"/>
      <c r="C307" s="802"/>
      <c r="D307" s="802"/>
      <c r="E307" s="802"/>
      <c r="F307" s="803"/>
    </row>
    <row r="308" spans="1:6" x14ac:dyDescent="0.3">
      <c r="A308" s="804"/>
      <c r="B308" s="805"/>
      <c r="C308" s="805"/>
      <c r="D308" s="805"/>
      <c r="E308" s="805"/>
      <c r="F308" s="805"/>
    </row>
    <row r="309" spans="1:6" x14ac:dyDescent="0.3">
      <c r="A309" s="804"/>
      <c r="B309" s="805"/>
      <c r="C309" s="805"/>
      <c r="D309" s="805"/>
      <c r="E309" s="805"/>
      <c r="F309" s="805"/>
    </row>
  </sheetData>
  <sheetProtection password="D8E3" sheet="1" objects="1" scenarios="1" formatCells="0" formatColumns="0" formatRows="0" insertColumns="0" insertRows="0" insertHyperlinks="0" selectLockedCells="1"/>
  <mergeCells count="18">
    <mergeCell ref="A68:F68"/>
    <mergeCell ref="A1:F1"/>
    <mergeCell ref="A3:F3"/>
    <mergeCell ref="A9:F9"/>
    <mergeCell ref="A40:F40"/>
    <mergeCell ref="A45:F45"/>
    <mergeCell ref="A294:F294"/>
    <mergeCell ref="A99:F99"/>
    <mergeCell ref="A104:F104"/>
    <mergeCell ref="A125:F125"/>
    <mergeCell ref="A156:F156"/>
    <mergeCell ref="A161:F161"/>
    <mergeCell ref="A181:F181"/>
    <mergeCell ref="A212:F212"/>
    <mergeCell ref="A217:F217"/>
    <mergeCell ref="A237:F237"/>
    <mergeCell ref="A268:F268"/>
    <mergeCell ref="A273:F273"/>
  </mergeCells>
  <dataValidations disablePrompts="1" count="3">
    <dataValidation type="list" allowBlank="1" showInputMessage="1" showErrorMessage="1" sqref="C14 D15:D16 C29 D30:D31 C73 D74:D75 C88 D89:D90 C130 D131:D132 C145 D146:D147 C186 D187:D188 C201 D202:D203 C242 D243:D244 C257 D258:D259">
      <formula1>$A$47:$A$48</formula1>
    </dataValidation>
    <dataValidation type="whole" allowBlank="1" showInputMessage="1" showErrorMessage="1" errorTitle="Hit me one mo' time, Jack. " error="Enter a tuition amount that is less than the available amount directly above." sqref="C17 C32:C33 C76 C91:C92 C133 C148:C149 C189 C204:C205 C245 C260:C261">
      <formula1>0</formula1>
      <formula2>C13-1</formula2>
    </dataValidation>
    <dataValidation type="whole" allowBlank="1" showInputMessage="1" showErrorMessage="1" errorTitle="Hit me one mo' time, Jack. " error="Enter a tuition amount that is less than the available amount directly above." sqref="B18 B77 B134 B190 B246">
      <formula1>0</formula1>
      <formula2>C14-1</formula2>
    </dataValidation>
  </dataValidations>
  <hyperlinks>
    <hyperlink ref="A304" r:id="rId1"/>
  </hyperlinks>
  <pageMargins left="0.25" right="0.25" top="0.75" bottom="0.75" header="0.3" footer="0.3"/>
  <pageSetup orientation="portrait" horizontalDpi="200" verticalDpi="20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2" sqref="H22"/>
    </sheetView>
  </sheetViews>
  <sheetFormatPr defaultColWidth="8.88671875" defaultRowHeight="13.2" x14ac:dyDescent="0.25"/>
  <cols>
    <col min="1" max="1" width="8.88671875" style="862"/>
    <col min="14" max="14" width="8.88671875" customWidth="1"/>
  </cols>
  <sheetData/>
  <pageMargins left="0.7" right="0.7" top="0.75" bottom="0.75" header="0.3" footer="0.3"/>
  <pageSetup orientation="landscape"/>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4140625" defaultRowHeight="13.2" x14ac:dyDescent="0.25"/>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322"/>
  <sheetViews>
    <sheetView zoomScale="110" zoomScaleNormal="110" workbookViewId="0">
      <selection activeCell="A2" sqref="A2"/>
    </sheetView>
  </sheetViews>
  <sheetFormatPr defaultColWidth="8.88671875" defaultRowHeight="13.8" x14ac:dyDescent="0.25"/>
  <cols>
    <col min="1" max="1" width="26.33203125" style="3" customWidth="1"/>
    <col min="2" max="2" width="13.77734375" style="3" customWidth="1"/>
    <col min="3" max="3" width="16.44140625" style="3" customWidth="1"/>
    <col min="4" max="4" width="10.44140625" style="1" hidden="1" customWidth="1"/>
    <col min="5" max="5" width="3.44140625" style="3" customWidth="1"/>
    <col min="6" max="6" width="10.44140625" style="1" hidden="1" customWidth="1"/>
    <col min="7" max="7" width="12.5546875" style="1" customWidth="1"/>
    <col min="8" max="8" width="12.21875" style="1" customWidth="1"/>
    <col min="9" max="9" width="15.109375" style="1" customWidth="1"/>
    <col min="10" max="10" width="10.44140625" style="867" hidden="1" customWidth="1"/>
    <col min="11" max="11" width="15" style="1" customWidth="1"/>
    <col min="12" max="12" width="14" style="1" customWidth="1"/>
    <col min="13" max="13" width="18.6640625" style="1" customWidth="1"/>
    <col min="14" max="14" width="17.33203125" style="1" customWidth="1"/>
    <col min="15" max="15" width="10" style="13" hidden="1" customWidth="1"/>
    <col min="16" max="16" width="7.6640625" style="13" hidden="1" customWidth="1"/>
    <col min="17" max="17" width="8" style="1" customWidth="1"/>
    <col min="18" max="18" width="9.44140625" style="5" customWidth="1"/>
    <col min="19" max="19" width="11.6640625" style="5" hidden="1" customWidth="1"/>
    <col min="20" max="20" width="1.44140625" style="15" customWidth="1"/>
    <col min="21" max="21" width="7.6640625" style="1" customWidth="1"/>
    <col min="22" max="22" width="7.44140625" style="1" hidden="1" customWidth="1"/>
    <col min="23" max="23" width="9.44140625" style="1" hidden="1" customWidth="1"/>
    <col min="24" max="25" width="9.44140625" style="867" customWidth="1"/>
    <col min="26" max="26" width="8" style="1" hidden="1" customWidth="1"/>
    <col min="27" max="27" width="9.109375" style="1" hidden="1" customWidth="1"/>
    <col min="28" max="28" width="7.44140625" style="1" customWidth="1"/>
    <col min="29" max="29" width="2.88671875" style="1" customWidth="1"/>
    <col min="30" max="30" width="14.109375" style="1" hidden="1" customWidth="1"/>
    <col min="31" max="31" width="11.88671875" style="95" hidden="1" customWidth="1"/>
    <col min="32" max="32" width="10.88671875" style="95" hidden="1" customWidth="1"/>
    <col min="33" max="33" width="1.6640625" style="1" hidden="1" customWidth="1"/>
    <col min="34" max="34" width="13.109375" style="1" hidden="1" customWidth="1"/>
    <col min="35" max="35" width="12.44140625" style="95" hidden="1" customWidth="1"/>
    <col min="36" max="36" width="12.33203125" style="95" hidden="1" customWidth="1"/>
    <col min="37" max="37" width="1" style="1" customWidth="1"/>
    <col min="38" max="38" width="10.109375" style="1" hidden="1" customWidth="1"/>
    <col min="39" max="39" width="8.88671875" style="1" hidden="1" customWidth="1"/>
    <col min="40" max="40" width="1.44140625" style="1" hidden="1" customWidth="1"/>
    <col min="41" max="41" width="10" style="1" hidden="1" customWidth="1"/>
    <col min="42" max="42" width="9.88671875" style="1" hidden="1" customWidth="1"/>
    <col min="43" max="43" width="1" style="1" hidden="1" customWidth="1"/>
    <col min="44" max="44" width="11" style="1" hidden="1" customWidth="1"/>
    <col min="45" max="45" width="10.88671875" style="1" hidden="1" customWidth="1"/>
    <col min="46" max="46" width="11.88671875" style="1" hidden="1" customWidth="1"/>
    <col min="47" max="47" width="10.33203125" style="1" customWidth="1"/>
    <col min="48" max="48" width="8.88671875" style="1" customWidth="1"/>
    <col min="49" max="16384" width="8.88671875" style="1"/>
  </cols>
  <sheetData>
    <row r="1" spans="1:83" s="867" customFormat="1" x14ac:dyDescent="0.25">
      <c r="A1" s="863" t="s">
        <v>411</v>
      </c>
      <c r="B1" s="863"/>
      <c r="C1" s="864"/>
      <c r="D1" s="865"/>
      <c r="E1" s="864"/>
      <c r="F1" s="865"/>
      <c r="G1" s="865"/>
      <c r="H1" s="865"/>
      <c r="I1" s="865"/>
      <c r="J1" s="865"/>
      <c r="K1" s="865"/>
      <c r="L1" s="865"/>
      <c r="M1" s="865"/>
      <c r="N1" s="865"/>
      <c r="O1" s="866"/>
      <c r="P1" s="866"/>
      <c r="Q1" s="866"/>
      <c r="R1" s="642"/>
      <c r="S1" s="642"/>
      <c r="T1" s="328"/>
      <c r="U1" s="866"/>
      <c r="V1" s="866"/>
      <c r="W1" s="866"/>
      <c r="X1" s="866"/>
      <c r="Y1" s="866"/>
      <c r="Z1" s="866"/>
      <c r="AB1" s="866"/>
      <c r="AC1" s="868"/>
      <c r="AD1" s="868"/>
      <c r="AE1" s="866"/>
      <c r="AF1" s="866"/>
      <c r="AG1" s="868"/>
      <c r="AH1" s="868"/>
      <c r="AP1" s="129" t="e">
        <f>#REF!*#REF!</f>
        <v>#REF!</v>
      </c>
      <c r="AQ1" s="129" t="e">
        <f>#REF!*#REF!</f>
        <v>#REF!</v>
      </c>
      <c r="AR1" s="129" t="e">
        <f>#REF!*#REF!</f>
        <v>#REF!</v>
      </c>
      <c r="AS1" s="866"/>
      <c r="AT1" s="866"/>
      <c r="AU1" s="866"/>
      <c r="AV1" s="866"/>
      <c r="AW1" s="866"/>
      <c r="AX1" s="866"/>
      <c r="AY1" s="866"/>
      <c r="AZ1" s="866"/>
      <c r="BA1" s="866"/>
      <c r="BB1" s="866"/>
      <c r="BC1" s="866"/>
      <c r="BD1" s="866"/>
      <c r="BE1" s="866"/>
      <c r="BF1" s="869"/>
      <c r="BG1" s="869"/>
      <c r="BH1" s="869"/>
      <c r="BI1" s="869"/>
      <c r="BJ1" s="869"/>
      <c r="BK1" s="869"/>
      <c r="BL1" s="869"/>
      <c r="BM1" s="869"/>
      <c r="BN1" s="869"/>
      <c r="BO1" s="869"/>
      <c r="BP1" s="869"/>
      <c r="BQ1" s="869"/>
      <c r="BR1" s="869"/>
      <c r="BS1" s="869"/>
      <c r="BT1" s="869"/>
      <c r="BU1" s="869"/>
      <c r="BV1" s="869"/>
      <c r="BW1" s="869"/>
      <c r="BX1" s="869"/>
      <c r="BY1" s="869"/>
      <c r="BZ1" s="869"/>
      <c r="CA1" s="869"/>
      <c r="CB1" s="869"/>
      <c r="CC1" s="869"/>
      <c r="CD1" s="869"/>
      <c r="CE1" s="869"/>
    </row>
    <row r="2" spans="1:83" s="867" customFormat="1" ht="14.4" x14ac:dyDescent="0.25">
      <c r="A2" s="885" t="s">
        <v>418</v>
      </c>
      <c r="B2" s="885"/>
      <c r="C2" s="871"/>
      <c r="D2" s="872"/>
      <c r="E2" s="871"/>
      <c r="F2" s="872"/>
      <c r="G2" s="872"/>
      <c r="H2" s="872"/>
      <c r="I2" s="872"/>
      <c r="J2" s="872"/>
      <c r="K2" s="872"/>
      <c r="L2" s="872"/>
      <c r="M2" s="872"/>
      <c r="N2" s="872"/>
      <c r="R2" s="5"/>
      <c r="S2" s="5"/>
      <c r="T2" s="15"/>
      <c r="AC2" s="873"/>
      <c r="AD2" s="873"/>
      <c r="AG2" s="873"/>
      <c r="AH2" s="873"/>
      <c r="AS2" s="866"/>
      <c r="AT2" s="866"/>
      <c r="AU2" s="866"/>
      <c r="AV2" s="866"/>
      <c r="AW2" s="866"/>
      <c r="AX2" s="866"/>
      <c r="AY2" s="866"/>
      <c r="AZ2" s="866"/>
      <c r="BA2" s="866"/>
      <c r="BB2" s="866"/>
      <c r="BC2" s="866"/>
      <c r="BD2" s="866"/>
      <c r="BE2" s="866"/>
      <c r="BF2" s="869"/>
      <c r="BG2" s="869"/>
      <c r="BH2" s="869"/>
      <c r="BI2" s="869"/>
      <c r="BJ2" s="869"/>
      <c r="BK2" s="869"/>
      <c r="BL2" s="869"/>
      <c r="BM2" s="869"/>
      <c r="BN2" s="869"/>
      <c r="BO2" s="869"/>
      <c r="BP2" s="869"/>
      <c r="BQ2" s="869"/>
      <c r="BR2" s="869"/>
      <c r="BS2" s="869"/>
      <c r="BT2" s="869"/>
      <c r="BU2" s="869"/>
      <c r="BV2" s="869"/>
      <c r="BW2" s="869"/>
      <c r="BX2" s="869"/>
      <c r="BY2" s="869"/>
      <c r="BZ2" s="869"/>
      <c r="CA2" s="869"/>
      <c r="CB2" s="869"/>
      <c r="CC2" s="869"/>
      <c r="CD2" s="869"/>
      <c r="CE2" s="869"/>
    </row>
    <row r="3" spans="1:83" s="867" customFormat="1" ht="14.4" x14ac:dyDescent="0.25">
      <c r="A3" s="885" t="s">
        <v>546</v>
      </c>
      <c r="B3" s="885"/>
      <c r="C3" s="871"/>
      <c r="D3" s="872"/>
      <c r="E3" s="871"/>
      <c r="F3" s="872"/>
      <c r="G3" s="872"/>
      <c r="H3" s="872"/>
      <c r="I3" s="872"/>
      <c r="J3" s="872"/>
      <c r="K3" s="872"/>
      <c r="L3" s="872"/>
      <c r="M3" s="872"/>
      <c r="N3" s="872"/>
      <c r="R3" s="5"/>
      <c r="S3" s="5"/>
      <c r="T3" s="15"/>
      <c r="AC3" s="873"/>
      <c r="AD3" s="873"/>
      <c r="AG3" s="873"/>
      <c r="AH3" s="873"/>
      <c r="AS3" s="866"/>
      <c r="AT3" s="866"/>
      <c r="AU3" s="866"/>
      <c r="AV3" s="866"/>
      <c r="AW3" s="866"/>
      <c r="AX3" s="866"/>
      <c r="AY3" s="866"/>
      <c r="AZ3" s="866"/>
      <c r="BA3" s="866"/>
      <c r="BB3" s="866"/>
      <c r="BC3" s="866"/>
      <c r="BD3" s="866"/>
      <c r="BE3" s="866"/>
      <c r="BF3" s="869"/>
      <c r="BG3" s="869"/>
      <c r="BH3" s="869"/>
      <c r="BI3" s="869"/>
      <c r="BJ3" s="869"/>
      <c r="BK3" s="869"/>
      <c r="BL3" s="869"/>
      <c r="BM3" s="869"/>
      <c r="BN3" s="869"/>
      <c r="BO3" s="869"/>
      <c r="BP3" s="869"/>
      <c r="BQ3" s="869"/>
      <c r="BR3" s="869"/>
      <c r="BS3" s="869"/>
      <c r="BT3" s="869"/>
      <c r="BU3" s="869"/>
      <c r="BV3" s="869"/>
      <c r="BW3" s="869"/>
      <c r="BX3" s="869"/>
      <c r="BY3" s="869"/>
      <c r="BZ3" s="869"/>
      <c r="CA3" s="869"/>
      <c r="CB3" s="869"/>
      <c r="CC3" s="869"/>
      <c r="CD3" s="869"/>
      <c r="CE3" s="869"/>
    </row>
    <row r="4" spans="1:83" s="867" customFormat="1" ht="14.4" x14ac:dyDescent="0.25">
      <c r="A4" s="885" t="s">
        <v>636</v>
      </c>
      <c r="B4" s="885"/>
      <c r="C4" s="871"/>
      <c r="D4" s="872"/>
      <c r="E4" s="871"/>
      <c r="F4" s="872"/>
      <c r="G4" s="872"/>
      <c r="H4" s="872"/>
      <c r="I4" s="872"/>
      <c r="J4" s="872"/>
      <c r="K4" s="872"/>
      <c r="L4" s="872"/>
      <c r="M4" s="872"/>
      <c r="N4" s="872"/>
      <c r="R4" s="5"/>
      <c r="S4" s="5"/>
      <c r="T4" s="15"/>
      <c r="AC4" s="873"/>
      <c r="AD4" s="873"/>
      <c r="AG4" s="873"/>
      <c r="AH4" s="873"/>
      <c r="AS4" s="866"/>
      <c r="AT4" s="866"/>
      <c r="AU4" s="866"/>
      <c r="AV4" s="866"/>
      <c r="AW4" s="866"/>
      <c r="AX4" s="866"/>
      <c r="AY4" s="866"/>
      <c r="AZ4" s="866"/>
      <c r="BA4" s="866"/>
      <c r="BB4" s="866"/>
      <c r="BC4" s="866"/>
      <c r="BD4" s="866"/>
      <c r="BE4" s="866"/>
      <c r="BF4" s="869"/>
      <c r="BG4" s="869"/>
      <c r="BH4" s="869"/>
      <c r="BI4" s="869"/>
      <c r="BJ4" s="869"/>
      <c r="BK4" s="869"/>
      <c r="BL4" s="869"/>
      <c r="BM4" s="869"/>
      <c r="BN4" s="869"/>
      <c r="BO4" s="869"/>
      <c r="BP4" s="869"/>
      <c r="BQ4" s="869"/>
      <c r="BR4" s="869"/>
      <c r="BS4" s="869"/>
      <c r="BT4" s="869"/>
      <c r="BU4" s="869"/>
      <c r="BV4" s="869"/>
      <c r="BW4" s="869"/>
      <c r="BX4" s="869"/>
      <c r="BY4" s="869"/>
      <c r="BZ4" s="869"/>
      <c r="CA4" s="869"/>
      <c r="CB4" s="869"/>
      <c r="CC4" s="869"/>
      <c r="CD4" s="869"/>
      <c r="CE4" s="869"/>
    </row>
    <row r="5" spans="1:83" s="867" customFormat="1" ht="14.4" x14ac:dyDescent="0.25">
      <c r="A5" s="870" t="s">
        <v>635</v>
      </c>
      <c r="B5" s="870"/>
      <c r="C5" s="871"/>
      <c r="D5" s="872"/>
      <c r="E5" s="871"/>
      <c r="F5" s="872"/>
      <c r="G5" s="872"/>
      <c r="H5" s="872"/>
      <c r="I5" s="872"/>
      <c r="J5" s="872"/>
      <c r="K5" s="872"/>
      <c r="L5" s="872"/>
      <c r="M5" s="872"/>
      <c r="N5" s="872"/>
      <c r="R5" s="5"/>
      <c r="S5" s="5"/>
      <c r="T5" s="15"/>
      <c r="AC5" s="873"/>
      <c r="AD5" s="873"/>
      <c r="AG5" s="873"/>
      <c r="AH5" s="873"/>
      <c r="AS5" s="866"/>
      <c r="AT5" s="866"/>
      <c r="AU5" s="866"/>
      <c r="AV5" s="866"/>
      <c r="AW5" s="866"/>
      <c r="AX5" s="866"/>
      <c r="AY5" s="866"/>
      <c r="AZ5" s="866"/>
      <c r="BA5" s="866"/>
      <c r="BB5" s="866"/>
      <c r="BC5" s="866"/>
      <c r="BD5" s="866"/>
      <c r="BE5" s="866"/>
      <c r="BF5" s="869"/>
      <c r="BG5" s="869"/>
      <c r="BH5" s="869"/>
      <c r="BI5" s="869"/>
      <c r="BJ5" s="869"/>
      <c r="BK5" s="869"/>
      <c r="BL5" s="869"/>
      <c r="BM5" s="869"/>
      <c r="BN5" s="869"/>
      <c r="BO5" s="869"/>
      <c r="BP5" s="869"/>
      <c r="BQ5" s="869"/>
      <c r="BR5" s="869"/>
      <c r="BS5" s="869"/>
      <c r="BT5" s="869"/>
      <c r="BU5" s="869"/>
      <c r="BV5" s="869"/>
      <c r="BW5" s="869"/>
      <c r="BX5" s="869"/>
      <c r="BY5" s="869"/>
      <c r="BZ5" s="869"/>
      <c r="CA5" s="869"/>
      <c r="CB5" s="869"/>
      <c r="CC5" s="869"/>
      <c r="CD5" s="869"/>
      <c r="CE5" s="869"/>
    </row>
    <row r="6" spans="1:83" ht="16.5" customHeight="1" x14ac:dyDescent="0.25">
      <c r="A6" s="17"/>
      <c r="B6" s="17"/>
      <c r="C6" s="18"/>
      <c r="D6" s="283" t="s">
        <v>57</v>
      </c>
      <c r="E6" s="18"/>
      <c r="F6" s="283"/>
      <c r="G6" s="283" t="s">
        <v>57</v>
      </c>
      <c r="H6" s="283"/>
      <c r="I6" s="283"/>
      <c r="J6" s="283"/>
      <c r="K6" s="283"/>
      <c r="L6" s="283"/>
      <c r="M6" s="283"/>
      <c r="N6" s="284"/>
      <c r="O6" s="176"/>
      <c r="P6" s="176"/>
      <c r="Q6" s="230"/>
      <c r="R6" s="642"/>
      <c r="S6" s="642"/>
      <c r="T6" s="328"/>
      <c r="U6" s="230"/>
      <c r="V6" s="230"/>
      <c r="W6" s="230"/>
      <c r="X6" s="866"/>
      <c r="Y6" s="866"/>
      <c r="Z6" s="230"/>
      <c r="AA6" s="230"/>
      <c r="AB6" s="230"/>
      <c r="AC6" s="230"/>
      <c r="AD6" s="230"/>
      <c r="AE6" s="265"/>
      <c r="AF6" s="265"/>
      <c r="AG6" s="230"/>
      <c r="AH6" s="230"/>
      <c r="AI6" s="265"/>
      <c r="AJ6" s="265"/>
    </row>
    <row r="7" spans="1:83" ht="6.75" customHeight="1" x14ac:dyDescent="0.25">
      <c r="A7" s="20"/>
      <c r="B7" s="20"/>
      <c r="C7" s="60"/>
      <c r="D7" s="244"/>
      <c r="E7" s="60"/>
      <c r="F7" s="244"/>
      <c r="G7" s="244"/>
      <c r="H7" s="244"/>
      <c r="I7" s="244"/>
      <c r="J7" s="244"/>
      <c r="K7" s="244"/>
      <c r="L7" s="244"/>
      <c r="M7" s="244"/>
      <c r="N7" s="245"/>
      <c r="O7" s="57"/>
      <c r="P7" s="57"/>
      <c r="Q7" s="230"/>
      <c r="R7" s="642"/>
      <c r="S7" s="642"/>
      <c r="T7" s="328"/>
      <c r="U7" s="230"/>
      <c r="V7" s="230"/>
      <c r="W7" s="230"/>
      <c r="X7" s="866"/>
      <c r="Y7" s="866"/>
      <c r="Z7" s="230"/>
      <c r="AA7" s="230"/>
      <c r="AB7" s="230"/>
      <c r="AC7" s="230"/>
      <c r="AD7" s="230"/>
      <c r="AE7" s="265"/>
      <c r="AF7" s="265"/>
      <c r="AG7" s="230"/>
      <c r="AH7" s="230"/>
      <c r="AI7" s="265"/>
      <c r="AJ7" s="265"/>
    </row>
    <row r="8" spans="1:83" ht="16.5" customHeight="1" x14ac:dyDescent="0.25">
      <c r="A8" s="1194" t="s">
        <v>569</v>
      </c>
      <c r="B8" s="603" t="str">
        <f>'Y1'!B8</f>
        <v>enter PI name in this cell on Y1 tab</v>
      </c>
      <c r="D8" s="246"/>
      <c r="E8" s="603"/>
      <c r="F8" s="246"/>
      <c r="J8" s="246"/>
      <c r="K8" s="1267" t="s">
        <v>573</v>
      </c>
      <c r="L8" s="603" t="str">
        <f>'Y1'!M8</f>
        <v>enter GCO # in this cell on Y1 tab</v>
      </c>
      <c r="M8" s="246"/>
      <c r="N8" s="1134" t="s">
        <v>632</v>
      </c>
      <c r="O8" s="57"/>
      <c r="P8" s="57"/>
      <c r="Q8" s="230"/>
      <c r="R8" s="642"/>
      <c r="S8" s="642"/>
      <c r="T8" s="328"/>
      <c r="U8" s="230"/>
      <c r="V8" s="230"/>
      <c r="W8" s="230"/>
      <c r="X8" s="866"/>
      <c r="Y8" s="866"/>
      <c r="Z8" s="230"/>
      <c r="AA8" s="230"/>
      <c r="AB8" s="230"/>
      <c r="AC8" s="230"/>
      <c r="AD8" s="230"/>
      <c r="AE8" s="265"/>
      <c r="AF8" s="265"/>
      <c r="AG8" s="230"/>
      <c r="AH8" s="230"/>
      <c r="AI8" s="265"/>
      <c r="AJ8" s="265"/>
    </row>
    <row r="9" spans="1:83" ht="16.5" customHeight="1" x14ac:dyDescent="0.25">
      <c r="A9" s="1194" t="s">
        <v>570</v>
      </c>
      <c r="B9" s="603" t="str">
        <f>'Y1'!B9</f>
        <v>enter funding agency name in this cell on Y1 tab</v>
      </c>
      <c r="D9" s="246"/>
      <c r="E9" s="603"/>
      <c r="F9" s="246"/>
      <c r="J9" s="246"/>
      <c r="K9" s="1267" t="s">
        <v>574</v>
      </c>
      <c r="L9" s="603" t="str">
        <f>'Y1'!M9</f>
        <v>enter fund # in this cell on Y1 tab</v>
      </c>
      <c r="M9" s="246"/>
      <c r="N9" s="285"/>
      <c r="O9" s="57"/>
      <c r="P9" s="57"/>
      <c r="Q9" s="230"/>
      <c r="R9" s="642"/>
      <c r="S9" s="642"/>
      <c r="T9" s="328"/>
      <c r="U9" s="230"/>
      <c r="V9" s="230"/>
      <c r="W9" s="230"/>
      <c r="X9" s="866"/>
      <c r="Y9" s="866"/>
      <c r="Z9" s="230"/>
      <c r="AA9" s="230"/>
      <c r="AB9" s="230"/>
      <c r="AC9" s="230"/>
      <c r="AD9" s="230"/>
      <c r="AE9" s="265"/>
      <c r="AF9" s="265"/>
      <c r="AG9" s="230"/>
      <c r="AH9" s="230"/>
      <c r="AI9" s="265"/>
      <c r="AJ9" s="265"/>
    </row>
    <row r="10" spans="1:83" s="161" customFormat="1" ht="16.5" customHeight="1" x14ac:dyDescent="0.25">
      <c r="A10" s="1194" t="s">
        <v>571</v>
      </c>
      <c r="B10" s="603" t="str">
        <f>'Y1'!B10</f>
        <v>enter project title in this cell on Y1 tab</v>
      </c>
      <c r="D10" s="275"/>
      <c r="E10" s="603"/>
      <c r="F10" s="275"/>
      <c r="J10" s="275"/>
      <c r="K10" s="1267" t="s">
        <v>575</v>
      </c>
      <c r="L10" s="603" t="str">
        <f>'Y1'!M10</f>
        <v>enter agency # in this cell on Y1 tab</v>
      </c>
      <c r="M10" s="275"/>
      <c r="N10" s="286"/>
      <c r="O10" s="19"/>
      <c r="P10" s="19"/>
      <c r="Q10" s="231"/>
      <c r="R10" s="617"/>
      <c r="S10" s="617"/>
      <c r="T10" s="1357"/>
      <c r="U10" s="231"/>
      <c r="V10" s="231"/>
      <c r="W10" s="231"/>
      <c r="X10" s="1288"/>
      <c r="Y10" s="1288"/>
      <c r="Z10" s="231"/>
      <c r="AA10" s="231"/>
      <c r="AB10" s="231"/>
      <c r="AC10" s="231"/>
      <c r="AD10" s="231"/>
      <c r="AE10" s="266"/>
      <c r="AF10" s="266"/>
      <c r="AG10" s="231"/>
      <c r="AH10" s="231"/>
      <c r="AI10" s="266"/>
      <c r="AJ10" s="266"/>
    </row>
    <row r="11" spans="1:83" s="161" customFormat="1" ht="22.2" customHeight="1" x14ac:dyDescent="0.25">
      <c r="A11" s="1267" t="s">
        <v>572</v>
      </c>
      <c r="B11" s="1348" t="s">
        <v>293</v>
      </c>
      <c r="D11" s="275"/>
      <c r="E11" s="1290"/>
      <c r="F11" s="275"/>
      <c r="G11" s="280"/>
      <c r="H11" s="275"/>
      <c r="I11" s="275"/>
      <c r="J11" s="275"/>
      <c r="K11" s="275"/>
      <c r="L11" s="275"/>
      <c r="M11" s="275"/>
      <c r="N11" s="286"/>
      <c r="O11" s="19"/>
      <c r="P11" s="19"/>
      <c r="Q11" s="231"/>
      <c r="R11" s="617"/>
      <c r="S11" s="617"/>
      <c r="T11" s="1357"/>
      <c r="U11" s="231"/>
      <c r="V11" s="231"/>
      <c r="W11" s="231"/>
      <c r="X11" s="1288"/>
      <c r="Y11" s="1288"/>
      <c r="Z11" s="231"/>
      <c r="AA11" s="231"/>
      <c r="AB11" s="231"/>
      <c r="AC11" s="231"/>
      <c r="AD11" s="231"/>
      <c r="AE11" s="266"/>
      <c r="AF11" s="266"/>
      <c r="AG11" s="231"/>
      <c r="AH11" s="231"/>
      <c r="AI11" s="266"/>
      <c r="AJ11" s="266"/>
    </row>
    <row r="12" spans="1:83" s="161" customFormat="1" ht="16.2" customHeight="1" x14ac:dyDescent="0.3">
      <c r="A12" s="1194" t="s">
        <v>105</v>
      </c>
      <c r="B12" s="1194"/>
      <c r="C12" s="275" t="s">
        <v>1</v>
      </c>
      <c r="D12" s="275"/>
      <c r="E12" s="275"/>
      <c r="F12" s="275"/>
      <c r="G12" s="282"/>
      <c r="H12" s="275"/>
      <c r="I12" s="275"/>
      <c r="J12" s="275"/>
      <c r="K12" s="275"/>
      <c r="L12" s="1489" t="s">
        <v>44</v>
      </c>
      <c r="M12" s="1489"/>
      <c r="N12" s="1489"/>
      <c r="O12" s="19"/>
      <c r="P12" s="19"/>
      <c r="Q12" s="1386"/>
      <c r="R12" s="1482" t="s">
        <v>195</v>
      </c>
      <c r="S12" s="1069"/>
      <c r="T12" s="1357"/>
      <c r="U12" s="1328"/>
      <c r="V12" s="1458" t="s">
        <v>151</v>
      </c>
      <c r="W12" s="1458" t="s">
        <v>152</v>
      </c>
      <c r="X12" s="1355"/>
      <c r="Y12" s="1355"/>
      <c r="Z12" s="1458"/>
      <c r="AA12" s="1458"/>
      <c r="AB12" s="1356"/>
      <c r="AC12" s="239"/>
      <c r="AD12" s="1479"/>
      <c r="AE12" s="1480"/>
      <c r="AF12" s="1480"/>
      <c r="AG12" s="1480"/>
      <c r="AH12" s="1480"/>
      <c r="AI12" s="1480"/>
      <c r="AJ12" s="1481"/>
      <c r="AL12" s="138" t="s">
        <v>157</v>
      </c>
      <c r="AM12" s="138" t="s">
        <v>158</v>
      </c>
      <c r="AN12" s="9"/>
      <c r="AO12" s="138" t="s">
        <v>157</v>
      </c>
      <c r="AP12" s="138" t="s">
        <v>158</v>
      </c>
      <c r="AQ12" s="1"/>
      <c r="AR12" s="138" t="s">
        <v>157</v>
      </c>
      <c r="AS12" s="138" t="s">
        <v>158</v>
      </c>
      <c r="AT12" s="161" t="s">
        <v>4</v>
      </c>
    </row>
    <row r="13" spans="1:83" ht="5.4" customHeight="1" x14ac:dyDescent="0.25">
      <c r="A13" s="230"/>
      <c r="B13" s="866"/>
      <c r="C13" s="529"/>
      <c r="D13" s="262"/>
      <c r="E13" s="529"/>
      <c r="F13" s="262"/>
      <c r="G13" s="262"/>
      <c r="H13" s="262"/>
      <c r="I13" s="262"/>
      <c r="J13" s="262"/>
      <c r="K13" s="262"/>
      <c r="L13" s="1180" t="s">
        <v>22</v>
      </c>
      <c r="M13" s="1181"/>
      <c r="N13" s="1182">
        <v>0.30499999999999999</v>
      </c>
      <c r="O13" s="177"/>
      <c r="P13" s="177"/>
      <c r="Q13" s="1476" t="s">
        <v>590</v>
      </c>
      <c r="R13" s="1483"/>
      <c r="S13" s="1070"/>
      <c r="T13" s="328"/>
      <c r="U13" s="1358"/>
      <c r="V13" s="1459"/>
      <c r="W13" s="1459"/>
      <c r="X13" s="1325"/>
      <c r="Y13" s="1325"/>
      <c r="Z13" s="1459"/>
      <c r="AA13" s="1459"/>
      <c r="AB13" s="1219"/>
      <c r="AC13" s="239"/>
      <c r="AD13" s="271"/>
      <c r="AE13" s="272"/>
      <c r="AF13" s="272"/>
      <c r="AG13" s="262"/>
      <c r="AH13" s="262"/>
      <c r="AI13" s="272"/>
      <c r="AJ13" s="273"/>
    </row>
    <row r="14" spans="1:83" ht="16.5" customHeight="1" x14ac:dyDescent="0.25">
      <c r="A14" s="93" t="s">
        <v>28</v>
      </c>
      <c r="B14" s="93"/>
      <c r="C14" s="605"/>
      <c r="D14" s="329"/>
      <c r="E14" s="605"/>
      <c r="F14" s="329"/>
      <c r="G14" s="329"/>
      <c r="H14" s="329"/>
      <c r="I14" s="329"/>
      <c r="J14" s="329"/>
      <c r="K14" s="329"/>
      <c r="L14" s="1177" t="s">
        <v>21</v>
      </c>
      <c r="M14" s="1178"/>
      <c r="N14" s="1179">
        <v>0.315</v>
      </c>
      <c r="O14" s="177"/>
      <c r="P14" s="177"/>
      <c r="Q14" s="1476"/>
      <c r="R14" s="1483"/>
      <c r="S14" s="1070"/>
      <c r="T14" s="328"/>
      <c r="U14" s="1485" t="s">
        <v>148</v>
      </c>
      <c r="V14" s="1459"/>
      <c r="W14" s="1459"/>
      <c r="X14" s="1461" t="s">
        <v>556</v>
      </c>
      <c r="Y14" s="1461" t="s">
        <v>557</v>
      </c>
      <c r="Z14" s="1459"/>
      <c r="AA14" s="1459"/>
      <c r="AB14" s="1219"/>
      <c r="AC14" s="239"/>
      <c r="AD14" s="274"/>
      <c r="AE14" s="272"/>
      <c r="AF14" s="275" t="s">
        <v>31</v>
      </c>
      <c r="AG14" s="262"/>
      <c r="AH14" s="275" t="s">
        <v>185</v>
      </c>
      <c r="AI14" s="272" t="s">
        <v>203</v>
      </c>
      <c r="AJ14" s="273" t="s">
        <v>204</v>
      </c>
      <c r="AL14" s="64" t="s">
        <v>31</v>
      </c>
    </row>
    <row r="15" spans="1:83" ht="16.5" customHeight="1" x14ac:dyDescent="0.25">
      <c r="A15" s="1187" t="s">
        <v>5</v>
      </c>
      <c r="B15" s="1187"/>
      <c r="C15" s="529"/>
      <c r="D15" s="1280"/>
      <c r="E15" s="529"/>
      <c r="F15" s="38"/>
      <c r="G15" s="331"/>
      <c r="H15" s="1280"/>
      <c r="I15" s="1280"/>
      <c r="J15" s="1280"/>
      <c r="K15" s="275"/>
      <c r="L15" s="275"/>
      <c r="M15" s="275"/>
      <c r="N15" s="286"/>
      <c r="O15" s="178"/>
      <c r="P15" s="178"/>
      <c r="Q15" s="1476"/>
      <c r="R15" s="1483"/>
      <c r="S15" s="1071" t="s">
        <v>131</v>
      </c>
      <c r="T15" s="328"/>
      <c r="U15" s="1485"/>
      <c r="V15" s="1460"/>
      <c r="W15" s="1460"/>
      <c r="X15" s="1461"/>
      <c r="Y15" s="1461"/>
      <c r="Z15" s="1460"/>
      <c r="AA15" s="1460"/>
      <c r="AB15" s="1219"/>
      <c r="AC15" s="239"/>
      <c r="AD15" s="274"/>
      <c r="AE15" s="276"/>
      <c r="AF15" s="276"/>
      <c r="AG15" s="277" t="s">
        <v>36</v>
      </c>
      <c r="AH15" s="275" t="s">
        <v>186</v>
      </c>
      <c r="AI15" s="278" t="s">
        <v>136</v>
      </c>
      <c r="AJ15" s="279" t="s">
        <v>137</v>
      </c>
    </row>
    <row r="16" spans="1:83" s="1158" customFormat="1" ht="30" customHeight="1" thickBot="1" x14ac:dyDescent="0.3">
      <c r="A16" s="1207" t="s">
        <v>36</v>
      </c>
      <c r="B16" s="1207"/>
      <c r="C16" s="1208" t="s">
        <v>25</v>
      </c>
      <c r="D16" s="1217" t="s">
        <v>6</v>
      </c>
      <c r="E16" s="1208"/>
      <c r="F16" s="1217" t="s">
        <v>568</v>
      </c>
      <c r="G16" s="1218" t="s">
        <v>27</v>
      </c>
      <c r="H16" s="1218" t="s">
        <v>558</v>
      </c>
      <c r="I16" s="1409"/>
      <c r="J16" s="1217"/>
      <c r="K16" s="1218" t="s">
        <v>7</v>
      </c>
      <c r="L16" s="1218" t="s">
        <v>54</v>
      </c>
      <c r="M16" s="1218" t="s">
        <v>55</v>
      </c>
      <c r="N16" s="1410" t="s">
        <v>8</v>
      </c>
      <c r="O16" s="1188"/>
      <c r="P16" s="1188"/>
      <c r="Q16" s="1476"/>
      <c r="R16" s="1484"/>
      <c r="S16" s="1189"/>
      <c r="T16" s="1357"/>
      <c r="U16" s="1486"/>
      <c r="V16" s="1359"/>
      <c r="W16" s="1359"/>
      <c r="X16" s="1462"/>
      <c r="Y16" s="1462"/>
      <c r="Z16" s="1359"/>
      <c r="AA16" s="1359"/>
      <c r="AB16" s="1220"/>
      <c r="AC16" s="275"/>
      <c r="AD16" s="488"/>
      <c r="AE16" s="489"/>
      <c r="AF16" s="490"/>
      <c r="AG16" s="1190"/>
      <c r="AH16" s="1465" t="s">
        <v>160</v>
      </c>
      <c r="AI16" s="1465"/>
      <c r="AJ16" s="1466"/>
      <c r="AL16" s="1472" t="s">
        <v>159</v>
      </c>
      <c r="AM16" s="1472"/>
      <c r="AO16" s="1473" t="s">
        <v>160</v>
      </c>
      <c r="AP16" s="1473"/>
      <c r="AR16" s="1474" t="s">
        <v>161</v>
      </c>
      <c r="AS16" s="1474"/>
      <c r="AT16" s="1474"/>
    </row>
    <row r="17" spans="1:46" ht="16.5" customHeight="1" thickTop="1" thickBot="1" x14ac:dyDescent="0.3">
      <c r="A17" s="601"/>
      <c r="B17" s="1329"/>
      <c r="C17" s="226"/>
      <c r="D17" s="1313">
        <f t="shared" ref="D17:D24" si="0">H17/12</f>
        <v>0</v>
      </c>
      <c r="E17" s="226"/>
      <c r="F17" s="223" t="str">
        <f t="shared" ref="F17:F24" si="1">IF(Q17=12, "n/a ", IF(AND(Q17&lt;12, R17="Yes"), "n/a", D17*S17))</f>
        <v xml:space="preserve">n/a </v>
      </c>
      <c r="G17" s="227"/>
      <c r="H17" s="1436"/>
      <c r="J17" s="1291"/>
      <c r="K17" s="398">
        <f>IF(AND(L105="Yes",G17&gt;L122),L122*D17*S17,IF(AND(Q17=12,U17="Yes"),G17*Z17,IF(AND(Q17&lt;12,U17="Yes"),G17*S17*Z17,G17*D17*S17)))</f>
        <v>0</v>
      </c>
      <c r="L17" s="223">
        <f t="shared" ref="L17:L24" si="2">IF(AND($G$285="No",$L$229="No"),$M$230,IF(AND($G$285="No",$L$229="Yes"),$N$14,$N$13))</f>
        <v>0.30499999999999999</v>
      </c>
      <c r="M17" s="398">
        <f t="shared" ref="M17:M24" si="3">K17*L17</f>
        <v>0</v>
      </c>
      <c r="N17" s="513">
        <f t="shared" ref="N17:N24" si="4">K17+M17</f>
        <v>0</v>
      </c>
      <c r="O17" s="25"/>
      <c r="P17" s="25"/>
      <c r="Q17" s="836">
        <v>12</v>
      </c>
      <c r="R17" s="1072" t="s">
        <v>60</v>
      </c>
      <c r="S17" s="1073">
        <f t="shared" ref="S17:S24" si="5">Q17/12</f>
        <v>1</v>
      </c>
      <c r="T17" s="328"/>
      <c r="U17" s="247" t="s">
        <v>60</v>
      </c>
      <c r="V17" s="248" t="str">
        <f t="shared" ref="V17:V24" si="6">IF(U17="No", " ", Z17/D17)</f>
        <v xml:space="preserve"> </v>
      </c>
      <c r="W17" s="249" t="str">
        <f>IF(U17="No", " ", 1-V17)</f>
        <v xml:space="preserve"> </v>
      </c>
      <c r="X17" s="1297"/>
      <c r="Y17" s="1306" t="str">
        <f>IF(AA17 = " ", " ", AA17*12)</f>
        <v xml:space="preserve"> </v>
      </c>
      <c r="Z17" s="1309">
        <f>X17/12</f>
        <v>0</v>
      </c>
      <c r="AA17" s="1302" t="str">
        <f t="shared" ref="AA17:AA24" si="7">IF(AND(Q17=12,U17="Yes"),D17-Z17,IF(AND(Q17&lt;12,U17="Yes"),F17-Z17," "))</f>
        <v xml:space="preserve"> </v>
      </c>
      <c r="AB17" s="1303" t="str">
        <f t="shared" ref="AB17:AB24" si="8">IF(AND(Q17=12,U17="Yes",Z17&gt;D17),"ERROR",IF(AND(Q17&lt;12,U17="Yes",Z17&gt;F17),"ERROR"," "))</f>
        <v xml:space="preserve"> </v>
      </c>
      <c r="AC17" s="136"/>
      <c r="AD17" s="258"/>
      <c r="AE17" s="259"/>
      <c r="AF17" s="259"/>
      <c r="AG17" s="157">
        <f t="shared" ref="AG17:AG24" si="9">A17</f>
        <v>0</v>
      </c>
      <c r="AH17" s="303">
        <f t="shared" ref="AH17:AH24" si="10">N17</f>
        <v>0</v>
      </c>
      <c r="AI17" s="837"/>
      <c r="AJ17" s="264">
        <f>1-AI17</f>
        <v>1</v>
      </c>
      <c r="AL17" s="4">
        <f t="shared" ref="AL17:AL24" si="11">N17*AE17</f>
        <v>0</v>
      </c>
      <c r="AM17" s="4">
        <f t="shared" ref="AM17:AM24" si="12">N17*AF17</f>
        <v>0</v>
      </c>
      <c r="AO17" s="4">
        <f t="shared" ref="AO17:AO24" si="13">N17*AI17</f>
        <v>0</v>
      </c>
      <c r="AP17" s="4">
        <f t="shared" ref="AP17:AP24" si="14">N17*AJ17</f>
        <v>0</v>
      </c>
      <c r="AR17" s="4">
        <f t="shared" ref="AR17:AS24" si="15">AL17+AO17</f>
        <v>0</v>
      </c>
      <c r="AS17" s="4">
        <f t="shared" si="15"/>
        <v>0</v>
      </c>
      <c r="AT17" s="4">
        <f>AR17+AS17</f>
        <v>0</v>
      </c>
    </row>
    <row r="18" spans="1:46" ht="16.5" customHeight="1" thickTop="1" thickBot="1" x14ac:dyDescent="0.3">
      <c r="A18" s="601"/>
      <c r="B18" s="1329"/>
      <c r="C18" s="226"/>
      <c r="D18" s="1313">
        <f t="shared" si="0"/>
        <v>0</v>
      </c>
      <c r="E18" s="226"/>
      <c r="F18" s="223" t="str">
        <f t="shared" si="1"/>
        <v xml:space="preserve">n/a </v>
      </c>
      <c r="G18" s="227"/>
      <c r="H18" s="1436"/>
      <c r="J18" s="1291"/>
      <c r="K18" s="398">
        <f t="shared" ref="K18:K24" si="16">IF(AND(Q18=12,U18="Yes"),G18*Z18,IF(AND(Q18&lt;12,U18="Yes"),G18*S18*Z18,IF(AND(R18="Yes",U18="No"),G18*D18*S18,G18*D18*S18)))</f>
        <v>0</v>
      </c>
      <c r="L18" s="223">
        <f t="shared" si="2"/>
        <v>0.30499999999999999</v>
      </c>
      <c r="M18" s="398">
        <f t="shared" si="3"/>
        <v>0</v>
      </c>
      <c r="N18" s="513">
        <f t="shared" si="4"/>
        <v>0</v>
      </c>
      <c r="O18" s="25"/>
      <c r="P18" s="25"/>
      <c r="Q18" s="836">
        <v>12</v>
      </c>
      <c r="R18" s="1072" t="s">
        <v>59</v>
      </c>
      <c r="S18" s="1073">
        <f t="shared" si="5"/>
        <v>1</v>
      </c>
      <c r="T18" s="328"/>
      <c r="U18" s="247" t="s">
        <v>60</v>
      </c>
      <c r="V18" s="248" t="str">
        <f t="shared" si="6"/>
        <v xml:space="preserve"> </v>
      </c>
      <c r="W18" s="250" t="str">
        <f t="shared" ref="W18:W24" si="17">IF(U18="No", " ", 1-V18)</f>
        <v xml:space="preserve"> </v>
      </c>
      <c r="X18" s="1297"/>
      <c r="Y18" s="1306" t="str">
        <f t="shared" ref="Y18:Y24" si="18">IF(AA18 = " ", " ", AA18*12)</f>
        <v xml:space="preserve"> </v>
      </c>
      <c r="Z18" s="1309">
        <f t="shared" ref="Z18:Z24" si="19">X18/12</f>
        <v>0</v>
      </c>
      <c r="AA18" s="1302" t="str">
        <f t="shared" si="7"/>
        <v xml:space="preserve"> </v>
      </c>
      <c r="AB18" s="1304" t="str">
        <f t="shared" si="8"/>
        <v xml:space="preserve"> </v>
      </c>
      <c r="AC18" s="136"/>
      <c r="AD18" s="258"/>
      <c r="AE18" s="259"/>
      <c r="AF18" s="259"/>
      <c r="AG18" s="157">
        <f t="shared" si="9"/>
        <v>0</v>
      </c>
      <c r="AH18" s="303">
        <f t="shared" si="10"/>
        <v>0</v>
      </c>
      <c r="AI18" s="837"/>
      <c r="AJ18" s="264">
        <f t="shared" ref="AJ18:AJ24" si="20">1-AI18</f>
        <v>1</v>
      </c>
      <c r="AL18" s="4">
        <f t="shared" si="11"/>
        <v>0</v>
      </c>
      <c r="AM18" s="4">
        <f t="shared" si="12"/>
        <v>0</v>
      </c>
      <c r="AO18" s="4">
        <f t="shared" si="13"/>
        <v>0</v>
      </c>
      <c r="AP18" s="4">
        <f t="shared" si="14"/>
        <v>0</v>
      </c>
      <c r="AR18" s="4">
        <f t="shared" si="15"/>
        <v>0</v>
      </c>
      <c r="AS18" s="4">
        <f t="shared" si="15"/>
        <v>0</v>
      </c>
      <c r="AT18" s="4">
        <f t="shared" ref="AT18:AT25" si="21">AR18+AS18</f>
        <v>0</v>
      </c>
    </row>
    <row r="19" spans="1:46" ht="16.5" customHeight="1" thickTop="1" thickBot="1" x14ac:dyDescent="0.3">
      <c r="A19" s="601"/>
      <c r="B19" s="1329"/>
      <c r="C19" s="226"/>
      <c r="D19" s="1313">
        <f t="shared" si="0"/>
        <v>0</v>
      </c>
      <c r="E19" s="226"/>
      <c r="F19" s="223" t="str">
        <f t="shared" si="1"/>
        <v xml:space="preserve">n/a </v>
      </c>
      <c r="G19" s="227"/>
      <c r="H19" s="1436"/>
      <c r="J19" s="1291"/>
      <c r="K19" s="398">
        <f t="shared" si="16"/>
        <v>0</v>
      </c>
      <c r="L19" s="223">
        <f t="shared" si="2"/>
        <v>0.30499999999999999</v>
      </c>
      <c r="M19" s="398">
        <f t="shared" si="3"/>
        <v>0</v>
      </c>
      <c r="N19" s="513">
        <f t="shared" si="4"/>
        <v>0</v>
      </c>
      <c r="O19" s="25"/>
      <c r="P19" s="25"/>
      <c r="Q19" s="836">
        <v>12</v>
      </c>
      <c r="R19" s="1072" t="s">
        <v>60</v>
      </c>
      <c r="S19" s="1073">
        <f t="shared" si="5"/>
        <v>1</v>
      </c>
      <c r="T19" s="328"/>
      <c r="U19" s="247" t="s">
        <v>60</v>
      </c>
      <c r="V19" s="248" t="str">
        <f t="shared" si="6"/>
        <v xml:space="preserve"> </v>
      </c>
      <c r="W19" s="250" t="str">
        <f t="shared" si="17"/>
        <v xml:space="preserve"> </v>
      </c>
      <c r="X19" s="1297"/>
      <c r="Y19" s="1306" t="str">
        <f t="shared" si="18"/>
        <v xml:space="preserve"> </v>
      </c>
      <c r="Z19" s="1309">
        <f t="shared" si="19"/>
        <v>0</v>
      </c>
      <c r="AA19" s="1302" t="str">
        <f t="shared" si="7"/>
        <v xml:space="preserve"> </v>
      </c>
      <c r="AB19" s="1304" t="str">
        <f t="shared" si="8"/>
        <v xml:space="preserve"> </v>
      </c>
      <c r="AC19" s="136"/>
      <c r="AD19" s="258"/>
      <c r="AE19" s="259"/>
      <c r="AF19" s="259"/>
      <c r="AG19" s="157">
        <f t="shared" si="9"/>
        <v>0</v>
      </c>
      <c r="AH19" s="303">
        <f t="shared" si="10"/>
        <v>0</v>
      </c>
      <c r="AI19" s="837"/>
      <c r="AJ19" s="264">
        <f t="shared" si="20"/>
        <v>1</v>
      </c>
      <c r="AL19" s="4">
        <f t="shared" si="11"/>
        <v>0</v>
      </c>
      <c r="AM19" s="4">
        <f t="shared" si="12"/>
        <v>0</v>
      </c>
      <c r="AO19" s="4">
        <f t="shared" si="13"/>
        <v>0</v>
      </c>
      <c r="AP19" s="4">
        <f t="shared" si="14"/>
        <v>0</v>
      </c>
      <c r="AR19" s="4">
        <f t="shared" si="15"/>
        <v>0</v>
      </c>
      <c r="AS19" s="4">
        <f t="shared" si="15"/>
        <v>0</v>
      </c>
      <c r="AT19" s="4">
        <f t="shared" si="21"/>
        <v>0</v>
      </c>
    </row>
    <row r="20" spans="1:46" ht="16.5" customHeight="1" thickTop="1" thickBot="1" x14ac:dyDescent="0.3">
      <c r="A20" s="601"/>
      <c r="B20" s="1329"/>
      <c r="C20" s="226"/>
      <c r="D20" s="1313">
        <f t="shared" si="0"/>
        <v>0</v>
      </c>
      <c r="E20" s="226"/>
      <c r="F20" s="223" t="str">
        <f t="shared" si="1"/>
        <v xml:space="preserve">n/a </v>
      </c>
      <c r="G20" s="227"/>
      <c r="H20" s="1436"/>
      <c r="J20" s="1291"/>
      <c r="K20" s="398">
        <f t="shared" si="16"/>
        <v>0</v>
      </c>
      <c r="L20" s="223">
        <f t="shared" si="2"/>
        <v>0.30499999999999999</v>
      </c>
      <c r="M20" s="398">
        <f t="shared" si="3"/>
        <v>0</v>
      </c>
      <c r="N20" s="513">
        <f t="shared" si="4"/>
        <v>0</v>
      </c>
      <c r="O20" s="25"/>
      <c r="P20" s="25"/>
      <c r="Q20" s="836">
        <v>12</v>
      </c>
      <c r="R20" s="1072" t="s">
        <v>60</v>
      </c>
      <c r="S20" s="1073">
        <f t="shared" si="5"/>
        <v>1</v>
      </c>
      <c r="T20" s="328"/>
      <c r="U20" s="247" t="s">
        <v>60</v>
      </c>
      <c r="V20" s="248" t="str">
        <f t="shared" si="6"/>
        <v xml:space="preserve"> </v>
      </c>
      <c r="W20" s="250" t="str">
        <f t="shared" si="17"/>
        <v xml:space="preserve"> </v>
      </c>
      <c r="X20" s="1297"/>
      <c r="Y20" s="1306" t="str">
        <f t="shared" si="18"/>
        <v xml:space="preserve"> </v>
      </c>
      <c r="Z20" s="1309">
        <f t="shared" si="19"/>
        <v>0</v>
      </c>
      <c r="AA20" s="1302" t="str">
        <f t="shared" si="7"/>
        <v xml:space="preserve"> </v>
      </c>
      <c r="AB20" s="1304" t="str">
        <f t="shared" si="8"/>
        <v xml:space="preserve"> </v>
      </c>
      <c r="AC20" s="136"/>
      <c r="AD20" s="258"/>
      <c r="AE20" s="259"/>
      <c r="AF20" s="259"/>
      <c r="AG20" s="157">
        <f t="shared" si="9"/>
        <v>0</v>
      </c>
      <c r="AH20" s="303">
        <f t="shared" si="10"/>
        <v>0</v>
      </c>
      <c r="AI20" s="837"/>
      <c r="AJ20" s="264">
        <f t="shared" si="20"/>
        <v>1</v>
      </c>
      <c r="AL20" s="4">
        <f t="shared" si="11"/>
        <v>0</v>
      </c>
      <c r="AM20" s="4">
        <f t="shared" si="12"/>
        <v>0</v>
      </c>
      <c r="AO20" s="4">
        <f t="shared" si="13"/>
        <v>0</v>
      </c>
      <c r="AP20" s="4">
        <f t="shared" si="14"/>
        <v>0</v>
      </c>
      <c r="AR20" s="4">
        <f t="shared" si="15"/>
        <v>0</v>
      </c>
      <c r="AS20" s="4">
        <f t="shared" si="15"/>
        <v>0</v>
      </c>
      <c r="AT20" s="4">
        <f t="shared" si="21"/>
        <v>0</v>
      </c>
    </row>
    <row r="21" spans="1:46" ht="16.5" customHeight="1" thickTop="1" thickBot="1" x14ac:dyDescent="0.3">
      <c r="A21" s="601"/>
      <c r="B21" s="1329"/>
      <c r="C21" s="226"/>
      <c r="D21" s="1313">
        <f t="shared" si="0"/>
        <v>0</v>
      </c>
      <c r="E21" s="226"/>
      <c r="F21" s="223" t="str">
        <f t="shared" si="1"/>
        <v xml:space="preserve">n/a </v>
      </c>
      <c r="G21" s="227"/>
      <c r="H21" s="1436"/>
      <c r="J21" s="1291"/>
      <c r="K21" s="398">
        <f t="shared" si="16"/>
        <v>0</v>
      </c>
      <c r="L21" s="223">
        <f t="shared" si="2"/>
        <v>0.30499999999999999</v>
      </c>
      <c r="M21" s="398">
        <f t="shared" si="3"/>
        <v>0</v>
      </c>
      <c r="N21" s="513">
        <f t="shared" si="4"/>
        <v>0</v>
      </c>
      <c r="O21" s="25"/>
      <c r="P21" s="25"/>
      <c r="Q21" s="836">
        <v>12</v>
      </c>
      <c r="R21" s="1072" t="s">
        <v>60</v>
      </c>
      <c r="S21" s="1073">
        <f t="shared" si="5"/>
        <v>1</v>
      </c>
      <c r="T21" s="328"/>
      <c r="U21" s="247" t="s">
        <v>60</v>
      </c>
      <c r="V21" s="248" t="str">
        <f t="shared" si="6"/>
        <v xml:space="preserve"> </v>
      </c>
      <c r="W21" s="250" t="str">
        <f t="shared" si="17"/>
        <v xml:space="preserve"> </v>
      </c>
      <c r="X21" s="1297"/>
      <c r="Y21" s="1306" t="str">
        <f t="shared" si="18"/>
        <v xml:space="preserve"> </v>
      </c>
      <c r="Z21" s="1309">
        <f t="shared" si="19"/>
        <v>0</v>
      </c>
      <c r="AA21" s="1302" t="str">
        <f t="shared" si="7"/>
        <v xml:space="preserve"> </v>
      </c>
      <c r="AB21" s="1304" t="str">
        <f t="shared" si="8"/>
        <v xml:space="preserve"> </v>
      </c>
      <c r="AC21" s="136"/>
      <c r="AD21" s="258"/>
      <c r="AE21" s="259"/>
      <c r="AF21" s="259"/>
      <c r="AG21" s="157">
        <f t="shared" si="9"/>
        <v>0</v>
      </c>
      <c r="AH21" s="303">
        <f t="shared" si="10"/>
        <v>0</v>
      </c>
      <c r="AI21" s="837"/>
      <c r="AJ21" s="264">
        <f t="shared" si="20"/>
        <v>1</v>
      </c>
      <c r="AL21" s="4">
        <f t="shared" si="11"/>
        <v>0</v>
      </c>
      <c r="AM21" s="4">
        <f t="shared" si="12"/>
        <v>0</v>
      </c>
      <c r="AO21" s="4">
        <f t="shared" si="13"/>
        <v>0</v>
      </c>
      <c r="AP21" s="4">
        <f t="shared" si="14"/>
        <v>0</v>
      </c>
      <c r="AR21" s="4">
        <f t="shared" si="15"/>
        <v>0</v>
      </c>
      <c r="AS21" s="4">
        <f t="shared" si="15"/>
        <v>0</v>
      </c>
      <c r="AT21" s="4">
        <f t="shared" si="21"/>
        <v>0</v>
      </c>
    </row>
    <row r="22" spans="1:46" ht="16.5" customHeight="1" thickTop="1" thickBot="1" x14ac:dyDescent="0.3">
      <c r="A22" s="601"/>
      <c r="B22" s="1329"/>
      <c r="C22" s="226"/>
      <c r="D22" s="1313">
        <f t="shared" si="0"/>
        <v>0</v>
      </c>
      <c r="E22" s="226"/>
      <c r="F22" s="223" t="str">
        <f t="shared" si="1"/>
        <v xml:space="preserve">n/a </v>
      </c>
      <c r="G22" s="227"/>
      <c r="H22" s="1436"/>
      <c r="J22" s="1291"/>
      <c r="K22" s="398">
        <f t="shared" si="16"/>
        <v>0</v>
      </c>
      <c r="L22" s="223">
        <f t="shared" si="2"/>
        <v>0.30499999999999999</v>
      </c>
      <c r="M22" s="398">
        <f t="shared" si="3"/>
        <v>0</v>
      </c>
      <c r="N22" s="513">
        <f t="shared" si="4"/>
        <v>0</v>
      </c>
      <c r="O22" s="25"/>
      <c r="P22" s="25"/>
      <c r="Q22" s="836">
        <v>12</v>
      </c>
      <c r="R22" s="1072" t="s">
        <v>60</v>
      </c>
      <c r="S22" s="1073">
        <f t="shared" si="5"/>
        <v>1</v>
      </c>
      <c r="T22" s="328"/>
      <c r="U22" s="247" t="s">
        <v>60</v>
      </c>
      <c r="V22" s="248" t="str">
        <f t="shared" si="6"/>
        <v xml:space="preserve"> </v>
      </c>
      <c r="W22" s="250" t="str">
        <f t="shared" si="17"/>
        <v xml:space="preserve"> </v>
      </c>
      <c r="X22" s="1297"/>
      <c r="Y22" s="1306" t="str">
        <f t="shared" si="18"/>
        <v xml:space="preserve"> </v>
      </c>
      <c r="Z22" s="1309">
        <f t="shared" si="19"/>
        <v>0</v>
      </c>
      <c r="AA22" s="1302" t="str">
        <f t="shared" si="7"/>
        <v xml:space="preserve"> </v>
      </c>
      <c r="AB22" s="1304" t="str">
        <f t="shared" si="8"/>
        <v xml:space="preserve"> </v>
      </c>
      <c r="AC22" s="136"/>
      <c r="AD22" s="258"/>
      <c r="AE22" s="259"/>
      <c r="AF22" s="259"/>
      <c r="AG22" s="157">
        <f t="shared" si="9"/>
        <v>0</v>
      </c>
      <c r="AH22" s="303">
        <f t="shared" si="10"/>
        <v>0</v>
      </c>
      <c r="AI22" s="837"/>
      <c r="AJ22" s="264">
        <f t="shared" si="20"/>
        <v>1</v>
      </c>
      <c r="AL22" s="4">
        <f t="shared" si="11"/>
        <v>0</v>
      </c>
      <c r="AM22" s="4">
        <f t="shared" si="12"/>
        <v>0</v>
      </c>
      <c r="AO22" s="4">
        <f t="shared" si="13"/>
        <v>0</v>
      </c>
      <c r="AP22" s="4">
        <f t="shared" si="14"/>
        <v>0</v>
      </c>
      <c r="AR22" s="4">
        <f t="shared" si="15"/>
        <v>0</v>
      </c>
      <c r="AS22" s="4">
        <f t="shared" si="15"/>
        <v>0</v>
      </c>
      <c r="AT22" s="4">
        <f t="shared" si="21"/>
        <v>0</v>
      </c>
    </row>
    <row r="23" spans="1:46" ht="16.5" customHeight="1" thickTop="1" thickBot="1" x14ac:dyDescent="0.3">
      <c r="A23" s="601"/>
      <c r="B23" s="1329"/>
      <c r="C23" s="226"/>
      <c r="D23" s="1313">
        <f t="shared" si="0"/>
        <v>0</v>
      </c>
      <c r="E23" s="226"/>
      <c r="F23" s="223" t="str">
        <f t="shared" si="1"/>
        <v xml:space="preserve">n/a </v>
      </c>
      <c r="G23" s="227"/>
      <c r="H23" s="1436"/>
      <c r="J23" s="1291"/>
      <c r="K23" s="398">
        <f t="shared" si="16"/>
        <v>0</v>
      </c>
      <c r="L23" s="223">
        <f t="shared" si="2"/>
        <v>0.30499999999999999</v>
      </c>
      <c r="M23" s="398">
        <f t="shared" si="3"/>
        <v>0</v>
      </c>
      <c r="N23" s="513">
        <f t="shared" si="4"/>
        <v>0</v>
      </c>
      <c r="O23" s="25"/>
      <c r="P23" s="25"/>
      <c r="Q23" s="836">
        <v>12</v>
      </c>
      <c r="R23" s="1072" t="s">
        <v>60</v>
      </c>
      <c r="S23" s="1073">
        <f t="shared" si="5"/>
        <v>1</v>
      </c>
      <c r="T23" s="328"/>
      <c r="U23" s="247" t="s">
        <v>60</v>
      </c>
      <c r="V23" s="248" t="str">
        <f t="shared" si="6"/>
        <v xml:space="preserve"> </v>
      </c>
      <c r="W23" s="250" t="str">
        <f t="shared" si="17"/>
        <v xml:space="preserve"> </v>
      </c>
      <c r="X23" s="1297"/>
      <c r="Y23" s="1306" t="str">
        <f t="shared" si="18"/>
        <v xml:space="preserve"> </v>
      </c>
      <c r="Z23" s="1309">
        <f t="shared" si="19"/>
        <v>0</v>
      </c>
      <c r="AA23" s="1302" t="str">
        <f t="shared" si="7"/>
        <v xml:space="preserve"> </v>
      </c>
      <c r="AB23" s="1304" t="str">
        <f t="shared" si="8"/>
        <v xml:space="preserve"> </v>
      </c>
      <c r="AC23" s="136"/>
      <c r="AD23" s="258"/>
      <c r="AE23" s="259"/>
      <c r="AF23" s="259"/>
      <c r="AG23" s="157">
        <f t="shared" si="9"/>
        <v>0</v>
      </c>
      <c r="AH23" s="303">
        <f t="shared" si="10"/>
        <v>0</v>
      </c>
      <c r="AI23" s="837"/>
      <c r="AJ23" s="264">
        <f t="shared" si="20"/>
        <v>1</v>
      </c>
      <c r="AL23" s="4">
        <f t="shared" si="11"/>
        <v>0</v>
      </c>
      <c r="AM23" s="4">
        <f t="shared" si="12"/>
        <v>0</v>
      </c>
      <c r="AO23" s="4">
        <f t="shared" si="13"/>
        <v>0</v>
      </c>
      <c r="AP23" s="4">
        <f t="shared" si="14"/>
        <v>0</v>
      </c>
      <c r="AR23" s="4">
        <f t="shared" si="15"/>
        <v>0</v>
      </c>
      <c r="AS23" s="4">
        <f t="shared" si="15"/>
        <v>0</v>
      </c>
      <c r="AT23" s="4">
        <f t="shared" si="21"/>
        <v>0</v>
      </c>
    </row>
    <row r="24" spans="1:46" ht="16.5" customHeight="1" thickTop="1" x14ac:dyDescent="0.25">
      <c r="A24" s="601"/>
      <c r="B24" s="1329"/>
      <c r="C24" s="226"/>
      <c r="D24" s="1314">
        <f t="shared" si="0"/>
        <v>0</v>
      </c>
      <c r="E24" s="226"/>
      <c r="F24" s="223" t="str">
        <f t="shared" si="1"/>
        <v xml:space="preserve">n/a </v>
      </c>
      <c r="G24" s="227"/>
      <c r="H24" s="1436"/>
      <c r="J24" s="1292"/>
      <c r="K24" s="398">
        <f t="shared" si="16"/>
        <v>0</v>
      </c>
      <c r="L24" s="223">
        <f t="shared" si="2"/>
        <v>0.30499999999999999</v>
      </c>
      <c r="M24" s="398">
        <f t="shared" si="3"/>
        <v>0</v>
      </c>
      <c r="N24" s="513">
        <f t="shared" si="4"/>
        <v>0</v>
      </c>
      <c r="O24" s="25"/>
      <c r="P24" s="25"/>
      <c r="Q24" s="847">
        <v>12</v>
      </c>
      <c r="R24" s="1074" t="s">
        <v>60</v>
      </c>
      <c r="S24" s="1075">
        <f t="shared" si="5"/>
        <v>1</v>
      </c>
      <c r="T24" s="328"/>
      <c r="U24" s="251" t="s">
        <v>60</v>
      </c>
      <c r="V24" s="252" t="str">
        <f t="shared" si="6"/>
        <v xml:space="preserve"> </v>
      </c>
      <c r="W24" s="253" t="str">
        <f t="shared" si="17"/>
        <v xml:space="preserve"> </v>
      </c>
      <c r="X24" s="1297"/>
      <c r="Y24" s="1306" t="str">
        <f t="shared" si="18"/>
        <v xml:space="preserve"> </v>
      </c>
      <c r="Z24" s="1309">
        <f t="shared" si="19"/>
        <v>0</v>
      </c>
      <c r="AA24" s="1305" t="str">
        <f t="shared" si="7"/>
        <v xml:space="preserve"> </v>
      </c>
      <c r="AB24" s="1304" t="str">
        <f t="shared" si="8"/>
        <v xml:space="preserve"> </v>
      </c>
      <c r="AC24" s="136"/>
      <c r="AD24" s="258"/>
      <c r="AE24" s="259"/>
      <c r="AF24" s="259"/>
      <c r="AG24" s="157">
        <f t="shared" si="9"/>
        <v>0</v>
      </c>
      <c r="AH24" s="303">
        <f t="shared" si="10"/>
        <v>0</v>
      </c>
      <c r="AI24" s="837"/>
      <c r="AJ24" s="264">
        <f t="shared" si="20"/>
        <v>1</v>
      </c>
      <c r="AL24" s="4">
        <f t="shared" si="11"/>
        <v>0</v>
      </c>
      <c r="AM24" s="4">
        <f t="shared" si="12"/>
        <v>0</v>
      </c>
      <c r="AO24" s="4">
        <f t="shared" si="13"/>
        <v>0</v>
      </c>
      <c r="AP24" s="4">
        <f t="shared" si="14"/>
        <v>0</v>
      </c>
      <c r="AR24" s="4">
        <f t="shared" si="15"/>
        <v>0</v>
      </c>
      <c r="AS24" s="4">
        <f t="shared" si="15"/>
        <v>0</v>
      </c>
      <c r="AT24" s="4">
        <f t="shared" si="21"/>
        <v>0</v>
      </c>
    </row>
    <row r="25" spans="1:46" ht="14.4" x14ac:dyDescent="0.25">
      <c r="A25" s="293"/>
      <c r="B25" s="293"/>
      <c r="C25" s="294"/>
      <c r="D25" s="295"/>
      <c r="E25" s="294"/>
      <c r="F25" s="1204" t="s">
        <v>222</v>
      </c>
      <c r="G25" s="295"/>
      <c r="H25" s="1204"/>
      <c r="I25" s="1204" t="s">
        <v>222</v>
      </c>
      <c r="J25" s="1289"/>
      <c r="K25" s="297">
        <v>0</v>
      </c>
      <c r="L25" s="297"/>
      <c r="M25" s="297">
        <v>0</v>
      </c>
      <c r="N25" s="117">
        <f>K25+M25</f>
        <v>0</v>
      </c>
      <c r="O25" s="25"/>
      <c r="P25" s="25"/>
      <c r="Q25" s="1090"/>
      <c r="R25" s="1089"/>
      <c r="S25" s="1089"/>
      <c r="T25" s="328"/>
      <c r="U25" s="230"/>
      <c r="V25" s="230"/>
      <c r="W25" s="230"/>
      <c r="X25" s="866"/>
      <c r="Y25" s="866"/>
      <c r="Z25" s="230"/>
      <c r="AA25" s="230"/>
      <c r="AB25" s="230"/>
      <c r="AC25" s="13"/>
      <c r="AD25" s="260"/>
      <c r="AE25" s="261"/>
      <c r="AF25" s="259"/>
      <c r="AG25" s="262"/>
      <c r="AH25" s="263">
        <v>0</v>
      </c>
      <c r="AI25" s="263">
        <v>0</v>
      </c>
      <c r="AJ25" s="273"/>
      <c r="AL25" s="103" t="s">
        <v>138</v>
      </c>
      <c r="AM25" s="103" t="s">
        <v>138</v>
      </c>
      <c r="AO25" s="103" t="s">
        <v>138</v>
      </c>
      <c r="AP25" s="103" t="s">
        <v>138</v>
      </c>
      <c r="AR25" s="103">
        <v>0</v>
      </c>
      <c r="AS25" s="103">
        <v>0</v>
      </c>
      <c r="AT25" s="50">
        <f t="shared" si="21"/>
        <v>0</v>
      </c>
    </row>
    <row r="26" spans="1:46" ht="16.5" customHeight="1" thickBot="1" x14ac:dyDescent="0.3">
      <c r="A26" s="1221" t="s">
        <v>9</v>
      </c>
      <c r="B26" s="1327"/>
      <c r="C26" s="1163"/>
      <c r="D26" s="421"/>
      <c r="E26" s="1163"/>
      <c r="F26" s="421"/>
      <c r="G26" s="421"/>
      <c r="H26" s="421"/>
      <c r="I26" s="421"/>
      <c r="J26" s="421"/>
      <c r="K26" s="1164">
        <f>SUM(K17:K25)</f>
        <v>0</v>
      </c>
      <c r="L26" s="1165"/>
      <c r="M26" s="1166">
        <f>SUM(M17:M25)</f>
        <v>0</v>
      </c>
      <c r="N26" s="299">
        <f>SUM(N17:N25)</f>
        <v>0</v>
      </c>
      <c r="O26" s="175"/>
      <c r="P26" s="175"/>
      <c r="Q26" s="642"/>
      <c r="R26" s="642"/>
      <c r="S26" s="642"/>
      <c r="T26" s="328"/>
      <c r="U26" s="230"/>
      <c r="V26" s="230"/>
      <c r="W26" s="230"/>
      <c r="X26" s="866"/>
      <c r="Y26" s="866"/>
      <c r="Z26" s="230"/>
      <c r="AA26" s="230"/>
      <c r="AB26" s="230"/>
      <c r="AC26" s="13"/>
      <c r="AD26" s="271"/>
      <c r="AE26" s="272"/>
      <c r="AF26" s="272"/>
      <c r="AG26" s="262"/>
      <c r="AH26" s="262"/>
      <c r="AI26" s="272"/>
      <c r="AJ26" s="273"/>
      <c r="AL26" s="121">
        <f>SUM(AL17:AL25)</f>
        <v>0</v>
      </c>
      <c r="AM26" s="121">
        <f>SUM(AM17:AM25)</f>
        <v>0</v>
      </c>
      <c r="AO26" s="121">
        <f>SUM(AO17:AO25)</f>
        <v>0</v>
      </c>
      <c r="AP26" s="121">
        <f>SUM(AP17:AP25)</f>
        <v>0</v>
      </c>
      <c r="AR26" s="4">
        <f>SUM(AR17:AR25)</f>
        <v>0</v>
      </c>
      <c r="AS26" s="4">
        <f>SUM(AS17:AS25)</f>
        <v>0</v>
      </c>
      <c r="AT26" s="121">
        <f>SUM(AT17:AT25)</f>
        <v>0</v>
      </c>
    </row>
    <row r="27" spans="1:46" ht="16.5" customHeight="1" x14ac:dyDescent="0.25">
      <c r="A27" s="1187" t="s">
        <v>120</v>
      </c>
      <c r="B27" s="1187"/>
      <c r="C27" s="226"/>
      <c r="D27" s="301"/>
      <c r="E27" s="226"/>
      <c r="F27" s="301"/>
      <c r="G27" s="301"/>
      <c r="H27" s="301"/>
      <c r="I27" s="301"/>
      <c r="J27" s="301"/>
      <c r="K27" s="301"/>
      <c r="L27" s="301"/>
      <c r="M27" s="301"/>
      <c r="N27" s="338"/>
      <c r="O27" s="180"/>
      <c r="P27" s="180"/>
      <c r="Q27" s="642"/>
      <c r="R27" s="642"/>
      <c r="S27" s="642"/>
      <c r="T27" s="328"/>
      <c r="U27" s="230"/>
      <c r="V27" s="230"/>
      <c r="W27" s="230"/>
      <c r="X27" s="866"/>
      <c r="Y27" s="866"/>
      <c r="Z27" s="230"/>
      <c r="AA27" s="230"/>
      <c r="AB27" s="230"/>
      <c r="AC27" s="13"/>
      <c r="AD27" s="271"/>
      <c r="AE27" s="272"/>
      <c r="AF27" s="272"/>
      <c r="AG27" s="262"/>
      <c r="AH27" s="262"/>
      <c r="AI27" s="272"/>
      <c r="AJ27" s="273"/>
      <c r="AR27" s="126"/>
      <c r="AS27" s="121"/>
    </row>
    <row r="28" spans="1:46" ht="16.5" customHeight="1" x14ac:dyDescent="0.25">
      <c r="A28" s="1144"/>
      <c r="B28" s="1329"/>
      <c r="C28" s="342"/>
      <c r="D28" s="1061"/>
      <c r="E28" s="342"/>
      <c r="F28" s="261"/>
      <c r="G28" s="1061"/>
      <c r="H28" s="227"/>
      <c r="I28" s="1270"/>
      <c r="J28" s="261"/>
      <c r="K28" s="301"/>
      <c r="L28" s="301"/>
      <c r="M28" s="301"/>
      <c r="N28" s="227"/>
      <c r="O28" s="181"/>
      <c r="P28" s="181"/>
      <c r="Q28" s="642"/>
      <c r="R28" s="642"/>
      <c r="S28" s="642"/>
      <c r="T28" s="328"/>
      <c r="U28" s="230"/>
      <c r="V28" s="230"/>
      <c r="W28" s="230"/>
      <c r="X28" s="866"/>
      <c r="Y28" s="866"/>
      <c r="Z28" s="230"/>
      <c r="AA28" s="230"/>
      <c r="AB28" s="230"/>
      <c r="AC28" s="13"/>
      <c r="AD28" s="271"/>
      <c r="AE28" s="272"/>
      <c r="AF28" s="272"/>
      <c r="AG28" s="262"/>
      <c r="AH28" s="262"/>
      <c r="AI28" s="272"/>
      <c r="AJ28" s="273"/>
    </row>
    <row r="29" spans="1:46" ht="16.5" customHeight="1" x14ac:dyDescent="0.25">
      <c r="A29" s="601"/>
      <c r="B29" s="1329"/>
      <c r="C29" s="226"/>
      <c r="D29" s="301"/>
      <c r="E29" s="226"/>
      <c r="F29" s="261"/>
      <c r="G29" s="301"/>
      <c r="H29" s="227"/>
      <c r="I29" s="1270"/>
      <c r="J29" s="261"/>
      <c r="K29" s="301"/>
      <c r="L29" s="301"/>
      <c r="M29" s="301"/>
      <c r="N29" s="227"/>
      <c r="O29" s="25"/>
      <c r="P29" s="25"/>
      <c r="Q29" s="642"/>
      <c r="R29" s="642"/>
      <c r="S29" s="642"/>
      <c r="T29" s="328"/>
      <c r="U29" s="230"/>
      <c r="V29" s="230"/>
      <c r="W29" s="230"/>
      <c r="X29" s="866"/>
      <c r="Y29" s="866"/>
      <c r="Z29" s="230"/>
      <c r="AA29" s="230"/>
      <c r="AB29" s="230"/>
      <c r="AC29" s="13"/>
      <c r="AD29" s="271"/>
      <c r="AE29" s="272"/>
      <c r="AF29" s="272"/>
      <c r="AG29" s="262"/>
      <c r="AH29" s="262"/>
      <c r="AI29" s="272"/>
      <c r="AJ29" s="273"/>
    </row>
    <row r="30" spans="1:46" ht="16.5" customHeight="1" x14ac:dyDescent="0.25">
      <c r="A30" s="601"/>
      <c r="B30" s="1329"/>
      <c r="C30" s="226"/>
      <c r="D30" s="301"/>
      <c r="E30" s="226"/>
      <c r="F30" s="261"/>
      <c r="G30" s="301"/>
      <c r="H30" s="227"/>
      <c r="I30" s="1270"/>
      <c r="J30" s="261"/>
      <c r="K30" s="301"/>
      <c r="L30" s="301"/>
      <c r="M30" s="301"/>
      <c r="N30" s="339"/>
      <c r="O30" s="25"/>
      <c r="P30" s="25"/>
      <c r="Q30" s="642"/>
      <c r="R30" s="642"/>
      <c r="S30" s="642"/>
      <c r="T30" s="328"/>
      <c r="U30" s="230"/>
      <c r="V30" s="230"/>
      <c r="W30" s="230"/>
      <c r="X30" s="866"/>
      <c r="Y30" s="866"/>
      <c r="Z30" s="230"/>
      <c r="AA30" s="230"/>
      <c r="AB30" s="230"/>
      <c r="AC30" s="13"/>
      <c r="AD30" s="271"/>
      <c r="AE30" s="272"/>
      <c r="AF30" s="272"/>
      <c r="AG30" s="262"/>
      <c r="AH30" s="262"/>
      <c r="AI30" s="272"/>
      <c r="AJ30" s="273"/>
    </row>
    <row r="31" spans="1:46" ht="16.5" customHeight="1" thickBot="1" x14ac:dyDescent="0.3">
      <c r="A31" s="1216" t="s">
        <v>121</v>
      </c>
      <c r="B31" s="1216"/>
      <c r="C31" s="1161"/>
      <c r="D31" s="1161"/>
      <c r="E31" s="1161"/>
      <c r="F31" s="1161"/>
      <c r="G31" s="1161"/>
      <c r="H31" s="1161"/>
      <c r="I31" s="1161"/>
      <c r="J31" s="1161"/>
      <c r="K31" s="1161"/>
      <c r="L31" s="1161"/>
      <c r="M31" s="1167"/>
      <c r="N31" s="299">
        <f>SUM(H28:H30)+SUM(N28:N30)</f>
        <v>0</v>
      </c>
      <c r="O31" s="175"/>
      <c r="P31" s="175"/>
      <c r="Q31" s="642" t="s">
        <v>45</v>
      </c>
      <c r="R31" s="642"/>
      <c r="S31" s="642"/>
      <c r="T31" s="328"/>
      <c r="U31" s="230"/>
      <c r="V31" s="230"/>
      <c r="W31" s="230"/>
      <c r="X31" s="866"/>
      <c r="Y31" s="866"/>
      <c r="Z31" s="230"/>
      <c r="AA31" s="230"/>
      <c r="AB31" s="230"/>
      <c r="AC31" s="13"/>
      <c r="AD31" s="274" t="s">
        <v>168</v>
      </c>
      <c r="AE31" s="272" t="s">
        <v>203</v>
      </c>
      <c r="AF31" s="272" t="s">
        <v>204</v>
      </c>
      <c r="AG31" s="262"/>
      <c r="AH31" s="275" t="s">
        <v>168</v>
      </c>
      <c r="AI31" s="272" t="s">
        <v>203</v>
      </c>
      <c r="AJ31" s="273" t="s">
        <v>204</v>
      </c>
      <c r="AL31" s="64" t="s">
        <v>168</v>
      </c>
    </row>
    <row r="32" spans="1:46" ht="16.5" customHeight="1" x14ac:dyDescent="0.25">
      <c r="A32" s="1187" t="s">
        <v>13</v>
      </c>
      <c r="B32" s="1187"/>
      <c r="C32" s="226"/>
      <c r="D32" s="340"/>
      <c r="E32" s="226"/>
      <c r="F32" s="261"/>
      <c r="G32" s="301"/>
      <c r="H32" s="301"/>
      <c r="I32" s="261"/>
      <c r="J32" s="261"/>
      <c r="K32" s="301"/>
      <c r="L32" s="301"/>
      <c r="M32" s="301"/>
      <c r="N32" s="338"/>
      <c r="O32" s="180"/>
      <c r="P32" s="180"/>
      <c r="Q32" s="642"/>
      <c r="R32" s="642"/>
      <c r="S32" s="642"/>
      <c r="T32" s="328"/>
      <c r="U32" s="230"/>
      <c r="V32" s="230"/>
      <c r="W32" s="230"/>
      <c r="X32" s="866"/>
      <c r="Y32" s="866"/>
      <c r="Z32" s="230"/>
      <c r="AA32" s="230"/>
      <c r="AB32" s="230"/>
      <c r="AC32" s="13"/>
      <c r="AD32" s="274" t="s">
        <v>167</v>
      </c>
      <c r="AE32" s="278" t="s">
        <v>136</v>
      </c>
      <c r="AF32" s="278" t="s">
        <v>137</v>
      </c>
      <c r="AG32" s="262"/>
      <c r="AH32" s="275" t="s">
        <v>167</v>
      </c>
      <c r="AI32" s="278" t="s">
        <v>136</v>
      </c>
      <c r="AJ32" s="279" t="s">
        <v>137</v>
      </c>
      <c r="AL32" s="64"/>
    </row>
    <row r="33" spans="1:46" ht="16.5" customHeight="1" x14ac:dyDescent="0.25">
      <c r="A33" s="1144"/>
      <c r="B33" s="1329"/>
      <c r="C33" s="1060"/>
      <c r="D33" s="1061"/>
      <c r="E33" s="1287"/>
      <c r="F33" s="261"/>
      <c r="G33" s="1061"/>
      <c r="H33" s="227"/>
      <c r="I33" s="1270"/>
      <c r="J33" s="261"/>
      <c r="K33" s="301"/>
      <c r="L33" s="301"/>
      <c r="M33" s="301"/>
      <c r="N33" s="227"/>
      <c r="O33" s="181"/>
      <c r="P33" s="181"/>
      <c r="Q33" s="642"/>
      <c r="R33" s="642"/>
      <c r="S33" s="642"/>
      <c r="T33" s="328"/>
      <c r="U33" s="230"/>
      <c r="V33" s="230"/>
      <c r="W33" s="230"/>
      <c r="X33" s="866"/>
      <c r="Y33" s="866"/>
      <c r="Z33" s="230"/>
      <c r="AA33" s="230"/>
      <c r="AB33" s="230"/>
      <c r="AD33" s="1463" t="s">
        <v>159</v>
      </c>
      <c r="AE33" s="1464"/>
      <c r="AF33" s="1464"/>
      <c r="AG33" s="262"/>
      <c r="AH33" s="1465" t="s">
        <v>160</v>
      </c>
      <c r="AI33" s="1465"/>
      <c r="AJ33" s="1466"/>
      <c r="AL33" s="1472" t="s">
        <v>159</v>
      </c>
      <c r="AM33" s="1472"/>
      <c r="AO33" s="1473" t="s">
        <v>160</v>
      </c>
      <c r="AP33" s="1473"/>
      <c r="AR33" s="1475" t="s">
        <v>161</v>
      </c>
      <c r="AS33" s="1475"/>
      <c r="AT33" s="1475"/>
    </row>
    <row r="34" spans="1:46" ht="16.5" customHeight="1" x14ac:dyDescent="0.25">
      <c r="A34" s="602"/>
      <c r="B34" s="1329"/>
      <c r="C34" s="226"/>
      <c r="D34" s="230"/>
      <c r="E34" s="226"/>
      <c r="F34" s="261"/>
      <c r="G34" s="301"/>
      <c r="H34" s="227"/>
      <c r="I34" s="1270"/>
      <c r="J34" s="261"/>
      <c r="K34" s="301"/>
      <c r="L34" s="301"/>
      <c r="M34" s="301"/>
      <c r="N34" s="227"/>
      <c r="O34" s="25"/>
      <c r="P34" s="25"/>
      <c r="Q34" s="642"/>
      <c r="R34" s="642"/>
      <c r="S34" s="642"/>
      <c r="T34" s="328"/>
      <c r="U34" s="230"/>
      <c r="V34" s="230"/>
      <c r="W34" s="230"/>
      <c r="X34" s="866"/>
      <c r="Y34" s="866"/>
      <c r="Z34" s="230"/>
      <c r="AA34" s="230"/>
      <c r="AB34" s="230"/>
      <c r="AD34" s="643">
        <f>H34</f>
        <v>0</v>
      </c>
      <c r="AE34" s="837"/>
      <c r="AF34" s="495">
        <f>1-AE34</f>
        <v>1</v>
      </c>
      <c r="AG34" s="144"/>
      <c r="AH34" s="415">
        <f>N34</f>
        <v>0</v>
      </c>
      <c r="AI34" s="837"/>
      <c r="AJ34" s="264">
        <f>1-AI34</f>
        <v>1</v>
      </c>
      <c r="AL34" s="4">
        <f>H34*AE34</f>
        <v>0</v>
      </c>
      <c r="AM34" s="4">
        <f>H34*AF34</f>
        <v>0</v>
      </c>
      <c r="AO34" s="4">
        <f>N34*AI34</f>
        <v>0</v>
      </c>
      <c r="AP34" s="4">
        <f>N34*AJ34</f>
        <v>0</v>
      </c>
      <c r="AR34" s="4">
        <f>AL34+AO34</f>
        <v>0</v>
      </c>
      <c r="AS34" s="4">
        <f>AM34+AP34</f>
        <v>0</v>
      </c>
      <c r="AT34" s="4">
        <f>SUM(AR34:AS34)</f>
        <v>0</v>
      </c>
    </row>
    <row r="35" spans="1:46" ht="16.5" customHeight="1" x14ac:dyDescent="0.25">
      <c r="A35" s="602"/>
      <c r="B35" s="1329"/>
      <c r="C35" s="226"/>
      <c r="D35" s="230"/>
      <c r="E35" s="226"/>
      <c r="F35" s="261"/>
      <c r="G35" s="301"/>
      <c r="H35" s="227"/>
      <c r="I35" s="1270"/>
      <c r="J35" s="261"/>
      <c r="K35" s="301"/>
      <c r="L35" s="1206"/>
      <c r="M35" s="1204" t="s">
        <v>223</v>
      </c>
      <c r="N35" s="382">
        <v>0</v>
      </c>
      <c r="O35" s="25"/>
      <c r="P35" s="25"/>
      <c r="Q35" s="642"/>
      <c r="R35" s="642"/>
      <c r="S35" s="642"/>
      <c r="T35" s="328"/>
      <c r="U35" s="230"/>
      <c r="V35" s="230"/>
      <c r="W35" s="230"/>
      <c r="X35" s="866"/>
      <c r="Y35" s="866"/>
      <c r="Z35" s="230"/>
      <c r="AA35" s="230"/>
      <c r="AB35" s="230"/>
      <c r="AD35" s="643">
        <f>H35</f>
        <v>0</v>
      </c>
      <c r="AE35" s="837"/>
      <c r="AF35" s="495">
        <f>1-AE35</f>
        <v>1</v>
      </c>
      <c r="AG35" s="144"/>
      <c r="AH35" s="263">
        <v>0</v>
      </c>
      <c r="AI35" s="263">
        <v>0</v>
      </c>
      <c r="AJ35" s="142"/>
      <c r="AL35" s="50">
        <f>H35*AE35</f>
        <v>0</v>
      </c>
      <c r="AM35" s="50">
        <f>H35*AF35</f>
        <v>0</v>
      </c>
      <c r="AN35" s="9"/>
      <c r="AO35" s="103">
        <v>0</v>
      </c>
      <c r="AP35" s="103">
        <v>0</v>
      </c>
      <c r="AR35" s="50">
        <f>AL35+AO35</f>
        <v>0</v>
      </c>
      <c r="AS35" s="50">
        <f>AM35+AP35</f>
        <v>0</v>
      </c>
      <c r="AT35" s="50">
        <f t="shared" ref="AT35:AT36" si="22">SUM(AR35:AS35)</f>
        <v>0</v>
      </c>
    </row>
    <row r="36" spans="1:46" ht="16.5" customHeight="1" thickBot="1" x14ac:dyDescent="0.3">
      <c r="A36" s="1216" t="s">
        <v>14</v>
      </c>
      <c r="B36" s="1216"/>
      <c r="C36" s="1161"/>
      <c r="D36" s="1161"/>
      <c r="E36" s="1161"/>
      <c r="F36" s="1161"/>
      <c r="G36" s="1161"/>
      <c r="H36" s="1161"/>
      <c r="I36" s="1161"/>
      <c r="J36" s="1161"/>
      <c r="K36" s="1161"/>
      <c r="L36" s="1161"/>
      <c r="M36" s="1167"/>
      <c r="N36" s="383">
        <f>SUM(H33:H35)+SUM(N33:N35)</f>
        <v>0</v>
      </c>
      <c r="O36" s="174"/>
      <c r="P36" s="174"/>
      <c r="Q36" s="642"/>
      <c r="R36" s="642"/>
      <c r="S36" s="642"/>
      <c r="T36" s="328"/>
      <c r="U36" s="230"/>
      <c r="V36" s="230"/>
      <c r="W36" s="230"/>
      <c r="X36" s="866"/>
      <c r="Y36" s="866"/>
      <c r="Z36" s="230"/>
      <c r="AA36" s="230"/>
      <c r="AB36" s="230"/>
      <c r="AD36" s="146"/>
      <c r="AE36" s="124"/>
      <c r="AF36" s="124"/>
      <c r="AG36" s="144"/>
      <c r="AH36" s="144"/>
      <c r="AI36" s="124"/>
      <c r="AJ36" s="142"/>
      <c r="AL36" s="4">
        <f>SUM(AL34:AL35)</f>
        <v>0</v>
      </c>
      <c r="AM36" s="4">
        <f t="shared" ref="AM36:AP36" si="23">SUM(AM34:AM35)</f>
        <v>0</v>
      </c>
      <c r="AN36" s="4"/>
      <c r="AO36" s="4">
        <f t="shared" si="23"/>
        <v>0</v>
      </c>
      <c r="AP36" s="4">
        <f t="shared" si="23"/>
        <v>0</v>
      </c>
      <c r="AR36" s="4">
        <f>SUM(AR34:AR35)</f>
        <v>0</v>
      </c>
      <c r="AS36" s="4">
        <f>SUM(AS34:AS35)</f>
        <v>0</v>
      </c>
      <c r="AT36" s="121">
        <f t="shared" si="22"/>
        <v>0</v>
      </c>
    </row>
    <row r="37" spans="1:46" ht="16.5" customHeight="1" x14ac:dyDescent="0.25">
      <c r="A37" s="1194" t="s">
        <v>10</v>
      </c>
      <c r="B37" s="1194"/>
      <c r="C37" s="226"/>
      <c r="D37" s="301"/>
      <c r="E37" s="226"/>
      <c r="F37" s="261"/>
      <c r="G37" s="301"/>
      <c r="H37" s="301"/>
      <c r="I37" s="261"/>
      <c r="J37" s="261"/>
      <c r="K37" s="301"/>
      <c r="L37" s="301"/>
      <c r="M37" s="301"/>
      <c r="N37" s="338"/>
      <c r="O37" s="180"/>
      <c r="P37" s="180"/>
      <c r="Q37" s="642"/>
      <c r="R37" s="642"/>
      <c r="S37" s="642"/>
      <c r="T37" s="328"/>
      <c r="U37" s="230"/>
      <c r="V37" s="230"/>
      <c r="W37" s="230"/>
      <c r="X37" s="866"/>
      <c r="Y37" s="866"/>
      <c r="Z37" s="230"/>
      <c r="AA37" s="230"/>
      <c r="AB37" s="230"/>
      <c r="AD37" s="116" t="s">
        <v>169</v>
      </c>
      <c r="AE37" s="124" t="s">
        <v>203</v>
      </c>
      <c r="AF37" s="124" t="s">
        <v>204</v>
      </c>
      <c r="AG37" s="144"/>
      <c r="AH37" s="10" t="s">
        <v>169</v>
      </c>
      <c r="AI37" s="124" t="s">
        <v>203</v>
      </c>
      <c r="AJ37" s="142" t="s">
        <v>204</v>
      </c>
      <c r="AL37" s="10" t="s">
        <v>169</v>
      </c>
      <c r="AR37" s="126"/>
      <c r="AS37" s="121"/>
    </row>
    <row r="38" spans="1:46" ht="16.5" customHeight="1" x14ac:dyDescent="0.25">
      <c r="A38" s="642"/>
      <c r="B38" s="642"/>
      <c r="C38" s="1060"/>
      <c r="D38" s="1061"/>
      <c r="E38" s="1287"/>
      <c r="F38" s="261"/>
      <c r="G38" s="1061"/>
      <c r="H38" s="227"/>
      <c r="I38" s="1270"/>
      <c r="J38" s="261"/>
      <c r="K38" s="301"/>
      <c r="L38" s="301"/>
      <c r="M38" s="301"/>
      <c r="N38" s="227"/>
      <c r="O38" s="181"/>
      <c r="P38" s="181"/>
      <c r="Q38" s="642"/>
      <c r="R38" s="642"/>
      <c r="S38" s="642"/>
      <c r="T38" s="328"/>
      <c r="U38" s="230"/>
      <c r="V38" s="230"/>
      <c r="W38" s="230"/>
      <c r="X38" s="866"/>
      <c r="Y38" s="866"/>
      <c r="Z38" s="230"/>
      <c r="AA38" s="230"/>
      <c r="AB38" s="230"/>
      <c r="AD38" s="116" t="s">
        <v>167</v>
      </c>
      <c r="AE38" s="100" t="s">
        <v>136</v>
      </c>
      <c r="AF38" s="100" t="s">
        <v>137</v>
      </c>
      <c r="AG38" s="144"/>
      <c r="AH38" s="10" t="s">
        <v>167</v>
      </c>
      <c r="AI38" s="100" t="s">
        <v>136</v>
      </c>
      <c r="AJ38" s="143" t="s">
        <v>137</v>
      </c>
      <c r="AL38" s="10"/>
    </row>
    <row r="39" spans="1:46" ht="16.5" customHeight="1" x14ac:dyDescent="0.25">
      <c r="A39" s="1269"/>
      <c r="B39" s="1329"/>
      <c r="C39" s="226"/>
      <c r="D39" s="230"/>
      <c r="E39" s="226"/>
      <c r="F39" s="261"/>
      <c r="G39" s="301"/>
      <c r="H39" s="227"/>
      <c r="I39" s="1270"/>
      <c r="J39" s="261"/>
      <c r="K39" s="301"/>
      <c r="L39" s="301"/>
      <c r="M39" s="301"/>
      <c r="N39" s="227"/>
      <c r="O39" s="25"/>
      <c r="P39" s="25"/>
      <c r="Q39" s="642"/>
      <c r="R39" s="642"/>
      <c r="S39" s="642"/>
      <c r="T39" s="328"/>
      <c r="U39" s="230"/>
      <c r="V39" s="230"/>
      <c r="W39" s="230"/>
      <c r="X39" s="866"/>
      <c r="Y39" s="866"/>
      <c r="Z39" s="230"/>
      <c r="AA39" s="230"/>
      <c r="AB39" s="230"/>
      <c r="AD39" s="643">
        <f>H39</f>
        <v>0</v>
      </c>
      <c r="AE39" s="837"/>
      <c r="AF39" s="495">
        <f>1-AE39</f>
        <v>1</v>
      </c>
      <c r="AG39" s="144"/>
      <c r="AH39" s="644">
        <f>N39</f>
        <v>0</v>
      </c>
      <c r="AI39" s="837"/>
      <c r="AJ39" s="264">
        <f>1-AI39</f>
        <v>1</v>
      </c>
      <c r="AL39" s="4">
        <f>H39*AE39</f>
        <v>0</v>
      </c>
      <c r="AM39" s="4">
        <f>H39*AF39</f>
        <v>0</v>
      </c>
      <c r="AO39" s="4">
        <f>N39*AI39</f>
        <v>0</v>
      </c>
      <c r="AP39" s="4">
        <f>N39*AJ39</f>
        <v>0</v>
      </c>
      <c r="AR39" s="4">
        <f>AL39+AO39</f>
        <v>0</v>
      </c>
      <c r="AS39" s="4">
        <f>AM39+AP39</f>
        <v>0</v>
      </c>
      <c r="AT39" s="4">
        <f>SUM(AR39:AS39)</f>
        <v>0</v>
      </c>
    </row>
    <row r="40" spans="1:46" ht="16.5" customHeight="1" x14ac:dyDescent="0.25">
      <c r="A40" s="1269"/>
      <c r="B40" s="1329"/>
      <c r="C40" s="226"/>
      <c r="D40" s="230"/>
      <c r="E40" s="226"/>
      <c r="F40" s="261"/>
      <c r="G40" s="301"/>
      <c r="H40" s="227"/>
      <c r="I40" s="1270"/>
      <c r="J40" s="261"/>
      <c r="K40" s="301"/>
      <c r="L40" s="301"/>
      <c r="M40" s="301"/>
      <c r="N40" s="227"/>
      <c r="O40" s="25"/>
      <c r="P40" s="25"/>
      <c r="Q40" s="642"/>
      <c r="R40" s="642"/>
      <c r="S40" s="642"/>
      <c r="T40" s="328"/>
      <c r="U40" s="230"/>
      <c r="V40" s="230"/>
      <c r="W40" s="230"/>
      <c r="X40" s="866"/>
      <c r="Y40" s="866"/>
      <c r="Z40" s="230"/>
      <c r="AA40" s="230"/>
      <c r="AB40" s="230"/>
      <c r="AD40" s="643">
        <f>H40</f>
        <v>0</v>
      </c>
      <c r="AE40" s="837"/>
      <c r="AF40" s="495">
        <f t="shared" ref="AF40:AF41" si="24">1-AE40</f>
        <v>1</v>
      </c>
      <c r="AG40" s="144"/>
      <c r="AH40" s="644">
        <f>N40</f>
        <v>0</v>
      </c>
      <c r="AI40" s="837"/>
      <c r="AJ40" s="264">
        <f>1-AI40</f>
        <v>1</v>
      </c>
      <c r="AL40" s="48">
        <f>H40*AE40</f>
        <v>0</v>
      </c>
      <c r="AM40" s="48">
        <f>H40*AF40</f>
        <v>0</v>
      </c>
      <c r="AN40" s="9"/>
      <c r="AO40" s="4">
        <f>N40*AI40</f>
        <v>0</v>
      </c>
      <c r="AP40" s="4">
        <f>N40*AJ40</f>
        <v>0</v>
      </c>
      <c r="AQ40" s="9"/>
      <c r="AR40" s="4">
        <f t="shared" ref="AR40:AS41" si="25">AL40+AO40</f>
        <v>0</v>
      </c>
      <c r="AS40" s="4">
        <f t="shared" si="25"/>
        <v>0</v>
      </c>
      <c r="AT40" s="4">
        <f t="shared" ref="AT40:AT42" si="26">SUM(AR40:AS40)</f>
        <v>0</v>
      </c>
    </row>
    <row r="41" spans="1:46" ht="16.5" customHeight="1" x14ac:dyDescent="0.25">
      <c r="A41" s="1269"/>
      <c r="B41" s="1329"/>
      <c r="C41" s="226"/>
      <c r="D41" s="230"/>
      <c r="E41" s="226"/>
      <c r="F41" s="261"/>
      <c r="G41" s="301"/>
      <c r="H41" s="227"/>
      <c r="I41" s="1270"/>
      <c r="J41" s="261"/>
      <c r="K41" s="301"/>
      <c r="L41" s="1205"/>
      <c r="M41" s="1204" t="s">
        <v>260</v>
      </c>
      <c r="N41" s="382">
        <v>0</v>
      </c>
      <c r="O41" s="25"/>
      <c r="P41" s="25"/>
      <c r="Q41" s="642"/>
      <c r="R41" s="642"/>
      <c r="S41" s="642"/>
      <c r="T41" s="328"/>
      <c r="U41" s="230"/>
      <c r="V41" s="230"/>
      <c r="W41" s="230"/>
      <c r="X41" s="866"/>
      <c r="Y41" s="866"/>
      <c r="Z41" s="230"/>
      <c r="AA41" s="230"/>
      <c r="AB41" s="230"/>
      <c r="AD41" s="643">
        <f>H41</f>
        <v>0</v>
      </c>
      <c r="AE41" s="837"/>
      <c r="AF41" s="495">
        <f t="shared" si="24"/>
        <v>1</v>
      </c>
      <c r="AG41" s="144"/>
      <c r="AH41" s="263">
        <v>0</v>
      </c>
      <c r="AI41" s="263">
        <v>0</v>
      </c>
      <c r="AJ41" s="142"/>
      <c r="AL41" s="50">
        <f>H41*AE41</f>
        <v>0</v>
      </c>
      <c r="AM41" s="50">
        <f>H41*AF41</f>
        <v>0</v>
      </c>
      <c r="AO41" s="103">
        <v>0</v>
      </c>
      <c r="AP41" s="103">
        <v>0</v>
      </c>
      <c r="AQ41" s="9"/>
      <c r="AR41" s="50">
        <f t="shared" si="25"/>
        <v>0</v>
      </c>
      <c r="AS41" s="50">
        <f t="shared" si="25"/>
        <v>0</v>
      </c>
      <c r="AT41" s="50">
        <f t="shared" si="26"/>
        <v>0</v>
      </c>
    </row>
    <row r="42" spans="1:46" ht="16.5" customHeight="1" thickBot="1" x14ac:dyDescent="0.3">
      <c r="A42" s="1216" t="s">
        <v>12</v>
      </c>
      <c r="B42" s="1216"/>
      <c r="C42" s="1161"/>
      <c r="D42" s="1161"/>
      <c r="E42" s="1161"/>
      <c r="F42" s="1161"/>
      <c r="G42" s="1161"/>
      <c r="H42" s="1161"/>
      <c r="I42" s="1161"/>
      <c r="J42" s="1161"/>
      <c r="K42" s="1161"/>
      <c r="L42" s="1161"/>
      <c r="M42" s="1167"/>
      <c r="N42" s="384">
        <f>SUM(H38:H41)+SUM(N38:N41)</f>
        <v>0</v>
      </c>
      <c r="O42" s="174"/>
      <c r="P42" s="174"/>
      <c r="Q42" s="642"/>
      <c r="R42" s="642"/>
      <c r="S42" s="642"/>
      <c r="T42" s="328"/>
      <c r="U42" s="230"/>
      <c r="V42" s="230"/>
      <c r="W42" s="230"/>
      <c r="X42" s="866"/>
      <c r="Y42" s="866"/>
      <c r="Z42" s="230"/>
      <c r="AA42" s="230"/>
      <c r="AB42" s="230"/>
      <c r="AD42" s="492"/>
      <c r="AE42" s="272"/>
      <c r="AF42" s="272"/>
      <c r="AG42" s="493"/>
      <c r="AH42" s="493"/>
      <c r="AI42" s="272"/>
      <c r="AJ42" s="273"/>
      <c r="AL42" s="4">
        <f t="shared" ref="AL42:AP42" si="27">SUM(AL39:AL41)</f>
        <v>0</v>
      </c>
      <c r="AM42" s="4">
        <f t="shared" si="27"/>
        <v>0</v>
      </c>
      <c r="AN42" s="4"/>
      <c r="AO42" s="4">
        <f t="shared" si="27"/>
        <v>0</v>
      </c>
      <c r="AP42" s="4">
        <f t="shared" si="27"/>
        <v>0</v>
      </c>
      <c r="AQ42" s="4"/>
      <c r="AR42" s="4">
        <f>SUM(AR39:AR41)</f>
        <v>0</v>
      </c>
      <c r="AS42" s="4">
        <f>SUM(AS39:AS41)</f>
        <v>0</v>
      </c>
      <c r="AT42" s="121">
        <f t="shared" si="26"/>
        <v>0</v>
      </c>
    </row>
    <row r="43" spans="1:46" ht="16.5" customHeight="1" x14ac:dyDescent="0.25">
      <c r="A43" s="1187" t="s">
        <v>15</v>
      </c>
      <c r="B43" s="1187"/>
      <c r="C43" s="226"/>
      <c r="D43" s="230"/>
      <c r="E43" s="226"/>
      <c r="F43" s="261"/>
      <c r="G43" s="301"/>
      <c r="H43" s="301"/>
      <c r="I43" s="261"/>
      <c r="J43" s="261"/>
      <c r="K43" s="346"/>
      <c r="L43" s="301"/>
      <c r="M43" s="301"/>
      <c r="N43" s="338"/>
      <c r="O43" s="180"/>
      <c r="P43" s="180"/>
      <c r="Q43" s="642"/>
      <c r="R43" s="642"/>
      <c r="S43" s="642"/>
      <c r="T43" s="328"/>
      <c r="U43" s="230"/>
      <c r="V43" s="230"/>
      <c r="W43" s="230"/>
      <c r="X43" s="866"/>
      <c r="Y43" s="866"/>
      <c r="Z43" s="230"/>
      <c r="AA43" s="230"/>
      <c r="AB43" s="230"/>
      <c r="AD43" s="494" t="s">
        <v>34</v>
      </c>
      <c r="AE43" s="272" t="s">
        <v>203</v>
      </c>
      <c r="AF43" s="272" t="s">
        <v>204</v>
      </c>
      <c r="AG43" s="493"/>
      <c r="AH43" s="236" t="s">
        <v>34</v>
      </c>
      <c r="AI43" s="272" t="s">
        <v>203</v>
      </c>
      <c r="AJ43" s="273" t="s">
        <v>204</v>
      </c>
      <c r="AL43" s="10" t="s">
        <v>34</v>
      </c>
      <c r="AR43" s="126"/>
      <c r="AS43" s="121"/>
    </row>
    <row r="44" spans="1:46" ht="16.5" customHeight="1" x14ac:dyDescent="0.25">
      <c r="A44" s="1144"/>
      <c r="B44" s="1329"/>
      <c r="C44" s="1060"/>
      <c r="D44" s="642"/>
      <c r="E44" s="1287"/>
      <c r="F44" s="261"/>
      <c r="G44" s="1061"/>
      <c r="H44" s="227"/>
      <c r="I44" s="1270"/>
      <c r="J44" s="261"/>
      <c r="K44" s="301"/>
      <c r="L44" s="301"/>
      <c r="M44" s="301"/>
      <c r="N44" s="227"/>
      <c r="O44" s="181"/>
      <c r="P44" s="181"/>
      <c r="Q44" s="642"/>
      <c r="R44" s="642"/>
      <c r="S44" s="642"/>
      <c r="T44" s="328"/>
      <c r="U44" s="230"/>
      <c r="V44" s="230"/>
      <c r="W44" s="230"/>
      <c r="X44" s="866"/>
      <c r="Y44" s="866"/>
      <c r="Z44" s="230"/>
      <c r="AA44" s="230"/>
      <c r="AB44" s="230"/>
      <c r="AD44" s="494" t="s">
        <v>167</v>
      </c>
      <c r="AE44" s="278" t="s">
        <v>136</v>
      </c>
      <c r="AF44" s="278" t="s">
        <v>137</v>
      </c>
      <c r="AG44" s="493"/>
      <c r="AH44" s="236" t="s">
        <v>167</v>
      </c>
      <c r="AI44" s="278" t="s">
        <v>136</v>
      </c>
      <c r="AJ44" s="279" t="s">
        <v>137</v>
      </c>
    </row>
    <row r="45" spans="1:46" ht="16.5" customHeight="1" x14ac:dyDescent="0.25">
      <c r="A45" s="602"/>
      <c r="B45" s="1329"/>
      <c r="C45" s="226"/>
      <c r="D45" s="230"/>
      <c r="E45" s="226"/>
      <c r="F45" s="261"/>
      <c r="G45" s="301"/>
      <c r="H45" s="227"/>
      <c r="I45" s="1270"/>
      <c r="J45" s="261"/>
      <c r="K45" s="301"/>
      <c r="L45" s="1205"/>
      <c r="M45" s="1204" t="s">
        <v>261</v>
      </c>
      <c r="N45" s="382">
        <v>0</v>
      </c>
      <c r="O45" s="25"/>
      <c r="P45" s="25"/>
      <c r="Q45" s="642"/>
      <c r="R45" s="642"/>
      <c r="S45" s="642"/>
      <c r="T45" s="328"/>
      <c r="U45" s="230"/>
      <c r="V45" s="230"/>
      <c r="W45" s="230"/>
      <c r="X45" s="866"/>
      <c r="Y45" s="866"/>
      <c r="Z45" s="230"/>
      <c r="AA45" s="230"/>
      <c r="AB45" s="230"/>
      <c r="AD45" s="643">
        <f>H45</f>
        <v>0</v>
      </c>
      <c r="AE45" s="837"/>
      <c r="AF45" s="495">
        <f>1-AE45</f>
        <v>1</v>
      </c>
      <c r="AG45" s="144"/>
      <c r="AH45" s="645">
        <v>0</v>
      </c>
      <c r="AI45" s="263">
        <v>0</v>
      </c>
      <c r="AJ45" s="273"/>
      <c r="AL45" s="50">
        <f>H45*AE45</f>
        <v>0</v>
      </c>
      <c r="AM45" s="50">
        <f>H45*AF45</f>
        <v>0</v>
      </c>
      <c r="AO45" s="103">
        <v>0</v>
      </c>
      <c r="AP45" s="103">
        <v>0</v>
      </c>
      <c r="AR45" s="50">
        <f>AL45+AO45</f>
        <v>0</v>
      </c>
      <c r="AS45" s="50">
        <f>AM45+AP45</f>
        <v>0</v>
      </c>
      <c r="AT45" s="50">
        <f>SUM(AR45:AS45)</f>
        <v>0</v>
      </c>
    </row>
    <row r="46" spans="1:46" ht="16.5" customHeight="1" thickBot="1" x14ac:dyDescent="0.3">
      <c r="A46" s="1202" t="s">
        <v>16</v>
      </c>
      <c r="B46" s="1327"/>
      <c r="C46" s="1142"/>
      <c r="D46" s="421"/>
      <c r="E46" s="1142"/>
      <c r="F46" s="1160"/>
      <c r="G46" s="421"/>
      <c r="H46" s="421"/>
      <c r="I46" s="1160"/>
      <c r="J46" s="1160"/>
      <c r="K46" s="421"/>
      <c r="L46" s="421"/>
      <c r="M46" s="1168"/>
      <c r="N46" s="383">
        <f>SUM(H44:H45)+ SUM(N44:N45)</f>
        <v>0</v>
      </c>
      <c r="O46" s="174"/>
      <c r="P46" s="174"/>
      <c r="Q46" s="642"/>
      <c r="R46" s="642"/>
      <c r="S46" s="642"/>
      <c r="T46" s="328"/>
      <c r="U46" s="230"/>
      <c r="V46" s="230"/>
      <c r="W46" s="230"/>
      <c r="X46" s="866"/>
      <c r="Y46" s="866"/>
      <c r="Z46" s="230"/>
      <c r="AA46" s="230"/>
      <c r="AB46" s="230"/>
      <c r="AD46" s="492"/>
      <c r="AE46" s="272"/>
      <c r="AF46" s="272"/>
      <c r="AG46" s="493"/>
      <c r="AH46" s="493"/>
      <c r="AI46" s="272"/>
      <c r="AJ46" s="273"/>
      <c r="AL46" s="4">
        <f>SUM(AL45:AL45)</f>
        <v>0</v>
      </c>
      <c r="AM46" s="4">
        <f>SUM(AM45:AM45)</f>
        <v>0</v>
      </c>
      <c r="AO46" s="4" t="e">
        <f>#REF!+AO45</f>
        <v>#REF!</v>
      </c>
      <c r="AP46" s="4" t="e">
        <f>#REF!+AP45</f>
        <v>#REF!</v>
      </c>
      <c r="AR46" s="4">
        <f>SUM(AR45:AR45)</f>
        <v>0</v>
      </c>
      <c r="AS46" s="4">
        <f>SUM(AS45:AS45)</f>
        <v>0</v>
      </c>
      <c r="AT46" s="121">
        <f>SUM(AR46:AS46)</f>
        <v>0</v>
      </c>
    </row>
    <row r="47" spans="1:46" ht="16.5" customHeight="1" x14ac:dyDescent="0.25">
      <c r="A47" s="1194" t="s">
        <v>29</v>
      </c>
      <c r="B47" s="1194"/>
      <c r="C47" s="226"/>
      <c r="D47" s="301"/>
      <c r="E47" s="226"/>
      <c r="F47" s="261"/>
      <c r="G47" s="301"/>
      <c r="H47" s="301"/>
      <c r="I47" s="261"/>
      <c r="J47" s="261"/>
      <c r="K47" s="301"/>
      <c r="L47" s="301"/>
      <c r="M47" s="301"/>
      <c r="N47" s="338"/>
      <c r="O47" s="180"/>
      <c r="P47" s="180"/>
      <c r="Q47" s="642"/>
      <c r="R47" s="642"/>
      <c r="S47" s="642"/>
      <c r="T47" s="328"/>
      <c r="U47" s="230"/>
      <c r="V47" s="230"/>
      <c r="W47" s="230"/>
      <c r="X47" s="866"/>
      <c r="Y47" s="866"/>
      <c r="Z47" s="230"/>
      <c r="AA47" s="230"/>
      <c r="AB47" s="230"/>
      <c r="AD47" s="492"/>
      <c r="AE47" s="272"/>
      <c r="AF47" s="272"/>
      <c r="AG47" s="493"/>
      <c r="AH47" s="493"/>
      <c r="AI47" s="272"/>
      <c r="AJ47" s="273"/>
      <c r="AR47" s="126"/>
      <c r="AS47" s="121"/>
    </row>
    <row r="48" spans="1:46" ht="16.5" customHeight="1" x14ac:dyDescent="0.25">
      <c r="A48" s="5"/>
      <c r="B48" s="5"/>
      <c r="C48" s="1066"/>
      <c r="D48" s="1061"/>
      <c r="E48" s="1066"/>
      <c r="F48" s="261"/>
      <c r="G48" s="1061"/>
      <c r="H48" s="227"/>
      <c r="I48" s="1270"/>
      <c r="J48" s="261"/>
      <c r="K48" s="349"/>
      <c r="L48" s="301"/>
      <c r="M48" s="301"/>
      <c r="N48" s="385"/>
      <c r="O48" s="181"/>
      <c r="P48" s="181"/>
      <c r="Q48" s="642"/>
      <c r="R48" s="642"/>
      <c r="S48" s="642"/>
      <c r="T48" s="328"/>
      <c r="U48" s="230"/>
      <c r="V48" s="230"/>
      <c r="W48" s="230"/>
      <c r="X48" s="866"/>
      <c r="Y48" s="866"/>
      <c r="Z48" s="230"/>
      <c r="AA48" s="230"/>
      <c r="AB48" s="230"/>
      <c r="AD48" s="492"/>
      <c r="AE48" s="272"/>
      <c r="AF48" s="272"/>
      <c r="AG48" s="493"/>
      <c r="AH48" s="493"/>
      <c r="AI48" s="272"/>
      <c r="AJ48" s="273"/>
    </row>
    <row r="49" spans="1:46" ht="16.5" customHeight="1" x14ac:dyDescent="0.25">
      <c r="A49" s="1269"/>
      <c r="B49" s="1329"/>
      <c r="C49" s="348"/>
      <c r="D49" s="350"/>
      <c r="E49" s="348"/>
      <c r="F49" s="261"/>
      <c r="G49" s="349"/>
      <c r="H49" s="227"/>
      <c r="I49" s="1270"/>
      <c r="J49" s="261"/>
      <c r="K49" s="349"/>
      <c r="L49" s="301"/>
      <c r="M49" s="301"/>
      <c r="N49" s="385"/>
      <c r="O49" s="182"/>
      <c r="P49" s="182"/>
      <c r="Q49" s="642"/>
      <c r="R49" s="642"/>
      <c r="S49" s="642"/>
      <c r="T49" s="1156"/>
      <c r="U49" s="246"/>
      <c r="V49" s="246"/>
      <c r="W49" s="246"/>
      <c r="X49" s="246"/>
      <c r="Y49" s="246"/>
      <c r="Z49" s="246"/>
      <c r="AA49" s="246"/>
      <c r="AB49" s="246"/>
      <c r="AC49" s="63"/>
      <c r="AD49" s="271"/>
      <c r="AE49" s="259"/>
      <c r="AF49" s="259"/>
      <c r="AG49" s="496"/>
      <c r="AH49" s="496"/>
      <c r="AI49" s="259"/>
      <c r="AJ49" s="497"/>
    </row>
    <row r="50" spans="1:46" ht="16.5" customHeight="1" x14ac:dyDescent="0.25">
      <c r="A50" s="1269"/>
      <c r="B50" s="1329"/>
      <c r="C50" s="348"/>
      <c r="D50" s="350"/>
      <c r="E50" s="348"/>
      <c r="F50" s="261"/>
      <c r="G50" s="349"/>
      <c r="H50" s="227"/>
      <c r="I50" s="1270"/>
      <c r="J50" s="261"/>
      <c r="K50" s="349"/>
      <c r="L50" s="1205"/>
      <c r="M50" s="1204" t="s">
        <v>262</v>
      </c>
      <c r="N50" s="382">
        <v>0</v>
      </c>
      <c r="O50" s="25"/>
      <c r="P50" s="25"/>
      <c r="Q50" s="642"/>
      <c r="R50" s="642"/>
      <c r="S50" s="642"/>
      <c r="T50" s="1156"/>
      <c r="U50" s="246"/>
      <c r="V50" s="246"/>
      <c r="W50" s="246"/>
      <c r="X50" s="246"/>
      <c r="Y50" s="246"/>
      <c r="Z50" s="246"/>
      <c r="AA50" s="246"/>
      <c r="AB50" s="246"/>
      <c r="AC50" s="63"/>
      <c r="AD50" s="271"/>
      <c r="AE50" s="259"/>
      <c r="AF50" s="259"/>
      <c r="AG50" s="496"/>
      <c r="AH50" s="496"/>
      <c r="AI50" s="272" t="s">
        <v>203</v>
      </c>
      <c r="AJ50" s="273" t="s">
        <v>204</v>
      </c>
    </row>
    <row r="51" spans="1:46" ht="16.5" customHeight="1" thickBot="1" x14ac:dyDescent="0.3">
      <c r="A51" s="1216" t="s">
        <v>30</v>
      </c>
      <c r="B51" s="1216"/>
      <c r="C51" s="1161"/>
      <c r="D51" s="1161"/>
      <c r="E51" s="1161"/>
      <c r="F51" s="1161"/>
      <c r="G51" s="1161"/>
      <c r="H51" s="1161"/>
      <c r="I51" s="1161"/>
      <c r="J51" s="1161"/>
      <c r="K51" s="1161"/>
      <c r="L51" s="1161"/>
      <c r="M51" s="1167"/>
      <c r="N51" s="386">
        <f>SUM(H48:H50)+SUM(N48:N50)</f>
        <v>0</v>
      </c>
      <c r="O51" s="183"/>
      <c r="P51" s="183"/>
      <c r="Q51" s="642" t="s">
        <v>45</v>
      </c>
      <c r="R51" s="642"/>
      <c r="S51" s="642"/>
      <c r="T51" s="328"/>
      <c r="U51" s="230"/>
      <c r="V51" s="230"/>
      <c r="W51" s="230"/>
      <c r="X51" s="866"/>
      <c r="Y51" s="866"/>
      <c r="Z51" s="230"/>
      <c r="AA51" s="230"/>
      <c r="AB51" s="230"/>
      <c r="AD51" s="271"/>
      <c r="AE51" s="276"/>
      <c r="AF51" s="276"/>
      <c r="AG51" s="262"/>
      <c r="AH51" s="262"/>
      <c r="AI51" s="278" t="s">
        <v>136</v>
      </c>
      <c r="AJ51" s="279" t="s">
        <v>137</v>
      </c>
    </row>
    <row r="52" spans="1:46" ht="16.5" customHeight="1" x14ac:dyDescent="0.25">
      <c r="A52" s="1194" t="s">
        <v>68</v>
      </c>
      <c r="B52" s="1194"/>
      <c r="C52" s="226"/>
      <c r="D52" s="350"/>
      <c r="E52" s="226"/>
      <c r="F52" s="350"/>
      <c r="G52" s="350"/>
      <c r="H52" s="350"/>
      <c r="I52" s="350"/>
      <c r="J52" s="350"/>
      <c r="K52" s="226"/>
      <c r="L52" s="351" t="s">
        <v>72</v>
      </c>
      <c r="M52" s="351" t="s">
        <v>73</v>
      </c>
      <c r="N52" s="338"/>
      <c r="O52" s="180"/>
      <c r="P52" s="180"/>
      <c r="Q52" s="642"/>
      <c r="R52" s="642"/>
      <c r="S52" s="642"/>
      <c r="T52" s="328"/>
      <c r="U52" s="230"/>
      <c r="V52" s="230"/>
      <c r="W52" s="230"/>
      <c r="X52" s="866"/>
      <c r="Y52" s="866"/>
      <c r="Z52" s="230"/>
      <c r="AA52" s="230"/>
      <c r="AB52" s="230"/>
      <c r="AD52" s="1467"/>
      <c r="AE52" s="1468"/>
      <c r="AF52" s="498"/>
      <c r="AG52" s="262"/>
      <c r="AH52" s="1465" t="s">
        <v>160</v>
      </c>
      <c r="AI52" s="1465"/>
      <c r="AJ52" s="1466"/>
    </row>
    <row r="53" spans="1:46" ht="16.5" customHeight="1" x14ac:dyDescent="0.25">
      <c r="A53" s="642"/>
      <c r="B53" s="642"/>
      <c r="C53" s="1062"/>
      <c r="D53" s="1064"/>
      <c r="E53" s="1062"/>
      <c r="F53" s="1064"/>
      <c r="G53" s="1064"/>
      <c r="H53" s="1064"/>
      <c r="I53" s="1064"/>
      <c r="J53" s="1064"/>
      <c r="K53" s="1062"/>
      <c r="L53" s="352"/>
      <c r="M53" s="352"/>
      <c r="N53" s="513">
        <f t="shared" ref="N53:N58" si="28">L53+M53</f>
        <v>0</v>
      </c>
      <c r="O53" s="181"/>
      <c r="P53" s="181"/>
      <c r="Q53" s="642"/>
      <c r="R53" s="642"/>
      <c r="S53" s="642"/>
      <c r="T53" s="328"/>
      <c r="U53" s="230"/>
      <c r="V53" s="230"/>
      <c r="W53" s="230"/>
      <c r="X53" s="866"/>
      <c r="Y53" s="866"/>
      <c r="Z53" s="230"/>
      <c r="AA53" s="230"/>
      <c r="AB53" s="230"/>
      <c r="AD53" s="271"/>
      <c r="AE53" s="259"/>
      <c r="AF53" s="259"/>
      <c r="AG53" s="493"/>
      <c r="AH53" s="493"/>
      <c r="AI53" s="499" t="s">
        <v>171</v>
      </c>
      <c r="AJ53" s="500"/>
      <c r="AK53" s="49"/>
      <c r="AM53" s="49"/>
      <c r="AO53" s="140" t="s">
        <v>171</v>
      </c>
      <c r="AP53" s="49"/>
      <c r="AR53" s="49"/>
      <c r="AS53" s="49"/>
      <c r="AT53" s="49"/>
    </row>
    <row r="54" spans="1:46" ht="16.5" customHeight="1" x14ac:dyDescent="0.25">
      <c r="A54" s="602"/>
      <c r="B54" s="1329"/>
      <c r="C54" s="226"/>
      <c r="D54" s="301"/>
      <c r="E54" s="226"/>
      <c r="F54" s="301"/>
      <c r="G54" s="301"/>
      <c r="H54" s="301"/>
      <c r="I54" s="301"/>
      <c r="J54" s="301"/>
      <c r="K54" s="262"/>
      <c r="L54" s="352"/>
      <c r="M54" s="352"/>
      <c r="N54" s="513">
        <f t="shared" si="28"/>
        <v>0</v>
      </c>
      <c r="O54" s="25"/>
      <c r="P54" s="25"/>
      <c r="Q54" s="642"/>
      <c r="R54" s="642"/>
      <c r="S54" s="642"/>
      <c r="T54" s="328"/>
      <c r="U54" s="230"/>
      <c r="V54" s="230"/>
      <c r="W54" s="230"/>
      <c r="X54" s="866"/>
      <c r="Y54" s="866"/>
      <c r="Z54" s="230"/>
      <c r="AA54" s="230"/>
      <c r="AB54" s="230"/>
      <c r="AD54" s="492"/>
      <c r="AE54" s="272"/>
      <c r="AF54" s="259"/>
      <c r="AG54" s="493"/>
      <c r="AH54" s="646">
        <f>N184</f>
        <v>0</v>
      </c>
      <c r="AI54" s="837"/>
      <c r="AJ54" s="264">
        <f>1-AI54</f>
        <v>1</v>
      </c>
      <c r="AL54" s="4"/>
      <c r="AM54" s="4"/>
      <c r="AO54" s="4">
        <f>N184*AI54</f>
        <v>0</v>
      </c>
      <c r="AP54" s="4">
        <f>N184*AJ54</f>
        <v>0</v>
      </c>
      <c r="AR54" s="4">
        <f>AL54+AO54</f>
        <v>0</v>
      </c>
      <c r="AS54" s="4">
        <f>AM54+AP54</f>
        <v>0</v>
      </c>
      <c r="AT54" s="121">
        <f>AR54+AS54</f>
        <v>0</v>
      </c>
    </row>
    <row r="55" spans="1:46" ht="16.5" customHeight="1" x14ac:dyDescent="0.25">
      <c r="A55" s="602"/>
      <c r="B55" s="1329"/>
      <c r="C55" s="226"/>
      <c r="D55" s="301"/>
      <c r="E55" s="226"/>
      <c r="F55" s="301"/>
      <c r="G55" s="301"/>
      <c r="H55" s="301"/>
      <c r="I55" s="301"/>
      <c r="J55" s="301"/>
      <c r="K55" s="262"/>
      <c r="L55" s="352"/>
      <c r="M55" s="352"/>
      <c r="N55" s="513">
        <f t="shared" si="28"/>
        <v>0</v>
      </c>
      <c r="O55" s="25"/>
      <c r="P55" s="25"/>
      <c r="Q55" s="642"/>
      <c r="R55" s="642"/>
      <c r="S55" s="640"/>
      <c r="T55" s="328"/>
      <c r="U55" s="230"/>
      <c r="V55" s="230"/>
      <c r="W55" s="230"/>
      <c r="X55" s="866"/>
      <c r="Y55" s="866"/>
      <c r="Z55" s="230"/>
      <c r="AA55" s="230"/>
      <c r="AB55" s="230"/>
      <c r="AD55" s="492"/>
      <c r="AE55" s="272"/>
      <c r="AF55" s="259"/>
      <c r="AG55" s="493"/>
      <c r="AH55" s="259"/>
      <c r="AI55" s="259"/>
      <c r="AJ55" s="273"/>
    </row>
    <row r="56" spans="1:46" ht="16.5" customHeight="1" x14ac:dyDescent="0.25">
      <c r="A56" s="602"/>
      <c r="B56" s="1329"/>
      <c r="C56" s="226"/>
      <c r="D56" s="301"/>
      <c r="E56" s="226"/>
      <c r="F56" s="301"/>
      <c r="G56" s="301"/>
      <c r="H56" s="301"/>
      <c r="I56" s="301"/>
      <c r="J56" s="301"/>
      <c r="K56" s="262"/>
      <c r="L56" s="352"/>
      <c r="M56" s="352"/>
      <c r="N56" s="513">
        <f t="shared" si="28"/>
        <v>0</v>
      </c>
      <c r="O56" s="25"/>
      <c r="P56" s="25"/>
      <c r="Q56" s="642"/>
      <c r="R56" s="642"/>
      <c r="S56" s="1076"/>
      <c r="T56" s="328"/>
      <c r="U56" s="230"/>
      <c r="V56" s="230"/>
      <c r="W56" s="230"/>
      <c r="X56" s="866"/>
      <c r="Y56" s="866"/>
      <c r="Z56" s="230"/>
      <c r="AA56" s="230"/>
      <c r="AB56" s="230"/>
      <c r="AD56" s="492"/>
      <c r="AE56" s="272"/>
      <c r="AF56" s="259"/>
      <c r="AG56" s="493"/>
      <c r="AH56" s="259"/>
      <c r="AI56" s="272" t="s">
        <v>203</v>
      </c>
      <c r="AJ56" s="273" t="s">
        <v>204</v>
      </c>
    </row>
    <row r="57" spans="1:46" ht="16.5" customHeight="1" x14ac:dyDescent="0.25">
      <c r="A57" s="1350" t="s">
        <v>577</v>
      </c>
      <c r="B57" s="1195"/>
      <c r="C57" s="354"/>
      <c r="D57" s="355"/>
      <c r="E57" s="354"/>
      <c r="F57" s="355"/>
      <c r="G57" s="355"/>
      <c r="H57" s="355"/>
      <c r="I57" s="355"/>
      <c r="J57" s="355"/>
      <c r="K57" s="356"/>
      <c r="L57" s="357"/>
      <c r="M57" s="997"/>
      <c r="N57" s="513">
        <f t="shared" si="28"/>
        <v>0</v>
      </c>
      <c r="O57" s="25"/>
      <c r="P57" s="25"/>
      <c r="Q57" s="642"/>
      <c r="R57" s="642"/>
      <c r="S57" s="640"/>
      <c r="T57" s="328"/>
      <c r="U57" s="230"/>
      <c r="V57" s="230"/>
      <c r="W57" s="230"/>
      <c r="X57" s="866"/>
      <c r="Y57" s="866"/>
      <c r="Z57" s="230"/>
      <c r="AA57" s="230"/>
      <c r="AB57" s="230"/>
      <c r="AD57" s="492"/>
      <c r="AE57" s="272"/>
      <c r="AF57" s="259"/>
      <c r="AG57" s="493"/>
      <c r="AH57" s="502"/>
      <c r="AI57" s="502" t="s">
        <v>172</v>
      </c>
      <c r="AJ57" s="273"/>
      <c r="AO57" s="139" t="s">
        <v>172</v>
      </c>
    </row>
    <row r="58" spans="1:46" ht="17.25" customHeight="1" x14ac:dyDescent="0.25">
      <c r="A58" s="293"/>
      <c r="B58" s="293"/>
      <c r="C58" s="294"/>
      <c r="D58" s="295"/>
      <c r="E58" s="294"/>
      <c r="F58" s="295"/>
      <c r="G58" s="295"/>
      <c r="H58" s="295"/>
      <c r="I58" s="295"/>
      <c r="J58" s="295"/>
      <c r="K58" s="1204" t="s">
        <v>224</v>
      </c>
      <c r="L58" s="297">
        <v>0</v>
      </c>
      <c r="M58" s="297">
        <v>0</v>
      </c>
      <c r="N58" s="382">
        <f t="shared" si="28"/>
        <v>0</v>
      </c>
      <c r="O58" s="25"/>
      <c r="P58" s="25"/>
      <c r="Q58" s="642"/>
      <c r="R58" s="642"/>
      <c r="S58" s="642"/>
      <c r="T58" s="328"/>
      <c r="U58" s="230"/>
      <c r="V58" s="230"/>
      <c r="W58" s="230"/>
      <c r="X58" s="866"/>
      <c r="Y58" s="866"/>
      <c r="Z58" s="230"/>
      <c r="AA58" s="230"/>
      <c r="AB58" s="230"/>
      <c r="AD58" s="492"/>
      <c r="AE58" s="272"/>
      <c r="AF58" s="259"/>
      <c r="AG58" s="493"/>
      <c r="AH58" s="647">
        <f>N128</f>
        <v>0</v>
      </c>
      <c r="AI58" s="837"/>
      <c r="AJ58" s="264">
        <f>1-AI58</f>
        <v>1</v>
      </c>
      <c r="AO58" s="129">
        <f>N128*AI58</f>
        <v>0</v>
      </c>
      <c r="AP58" s="1">
        <f>N128*AJ58</f>
        <v>0</v>
      </c>
      <c r="AR58" s="4">
        <f>AL58+AO58</f>
        <v>0</v>
      </c>
      <c r="AS58" s="1">
        <f>AM58+AP58</f>
        <v>0</v>
      </c>
      <c r="AT58" s="121">
        <f>AR58+AS58</f>
        <v>0</v>
      </c>
    </row>
    <row r="59" spans="1:46" ht="16.5" customHeight="1" thickBot="1" x14ac:dyDescent="0.3">
      <c r="A59" s="1210" t="s">
        <v>47</v>
      </c>
      <c r="B59" s="1210"/>
      <c r="C59" s="1169"/>
      <c r="D59" s="1169"/>
      <c r="E59" s="1169"/>
      <c r="F59" s="1169"/>
      <c r="G59" s="1169"/>
      <c r="H59" s="1169"/>
      <c r="I59" s="1169"/>
      <c r="J59" s="1169"/>
      <c r="K59" s="1169"/>
      <c r="L59" s="1175">
        <f>SUM(L53:L58)</f>
        <v>0</v>
      </c>
      <c r="M59" s="106">
        <f>SUM(M53:M58)</f>
        <v>0</v>
      </c>
      <c r="N59" s="388">
        <f>SUM(N53:N58)</f>
        <v>0</v>
      </c>
      <c r="O59" s="175"/>
      <c r="P59" s="175"/>
      <c r="Q59" s="642" t="s">
        <v>140</v>
      </c>
      <c r="R59" s="642"/>
      <c r="S59" s="642"/>
      <c r="T59" s="328"/>
      <c r="U59" s="230"/>
      <c r="V59" s="230"/>
      <c r="W59" s="230"/>
      <c r="X59" s="866"/>
      <c r="Y59" s="866"/>
      <c r="Z59" s="230"/>
      <c r="AA59" s="230"/>
      <c r="AB59" s="230"/>
      <c r="AD59" s="494" t="s">
        <v>170</v>
      </c>
      <c r="AE59" s="272" t="s">
        <v>203</v>
      </c>
      <c r="AF59" s="272" t="s">
        <v>204</v>
      </c>
      <c r="AG59" s="493"/>
      <c r="AH59" s="236" t="s">
        <v>170</v>
      </c>
      <c r="AI59" s="272" t="s">
        <v>203</v>
      </c>
      <c r="AJ59" s="273" t="s">
        <v>204</v>
      </c>
      <c r="AL59" s="49"/>
      <c r="AM59" s="49"/>
      <c r="AO59" s="49"/>
      <c r="AP59" s="49"/>
      <c r="AR59" s="49"/>
      <c r="AS59" s="49"/>
      <c r="AT59" s="49"/>
    </row>
    <row r="60" spans="1:46" ht="16.5" customHeight="1" x14ac:dyDescent="0.25">
      <c r="A60" s="1187" t="s">
        <v>65</v>
      </c>
      <c r="B60" s="1187"/>
      <c r="C60" s="226"/>
      <c r="D60" s="301"/>
      <c r="E60" s="226"/>
      <c r="F60" s="301"/>
      <c r="G60" s="301"/>
      <c r="H60" s="301"/>
      <c r="I60" s="301"/>
      <c r="J60" s="301"/>
      <c r="K60" s="301"/>
      <c r="L60" s="301"/>
      <c r="M60" s="301"/>
      <c r="N60" s="338"/>
      <c r="O60" s="180"/>
      <c r="P60" s="180"/>
      <c r="Q60" s="642"/>
      <c r="R60" s="642"/>
      <c r="S60" s="642"/>
      <c r="T60" s="328"/>
      <c r="U60" s="230"/>
      <c r="V60" s="230"/>
      <c r="W60" s="230"/>
      <c r="X60" s="866"/>
      <c r="Y60" s="866"/>
      <c r="Z60" s="230"/>
      <c r="AA60" s="230"/>
      <c r="AB60" s="230"/>
      <c r="AD60" s="274" t="s">
        <v>167</v>
      </c>
      <c r="AE60" s="278" t="s">
        <v>136</v>
      </c>
      <c r="AF60" s="278" t="s">
        <v>137</v>
      </c>
      <c r="AG60" s="493"/>
      <c r="AH60" s="275" t="s">
        <v>167</v>
      </c>
      <c r="AI60" s="278" t="s">
        <v>136</v>
      </c>
      <c r="AJ60" s="278" t="s">
        <v>137</v>
      </c>
      <c r="AL60" s="160" t="s">
        <v>67</v>
      </c>
      <c r="AR60" s="126"/>
      <c r="AS60" s="4"/>
    </row>
    <row r="61" spans="1:46" ht="16.5" customHeight="1" x14ac:dyDescent="0.25">
      <c r="A61" s="642"/>
      <c r="B61" s="642"/>
      <c r="C61" s="1060"/>
      <c r="D61" s="1061"/>
      <c r="E61" s="1287"/>
      <c r="F61" s="261"/>
      <c r="G61" s="1061"/>
      <c r="H61" s="227"/>
      <c r="I61" s="1270"/>
      <c r="J61" s="261"/>
      <c r="K61" s="261"/>
      <c r="L61" s="301"/>
      <c r="M61" s="301"/>
      <c r="N61" s="227"/>
      <c r="O61" s="181"/>
      <c r="P61" s="181"/>
      <c r="Q61" s="642"/>
      <c r="R61" s="642"/>
      <c r="S61" s="642"/>
      <c r="T61" s="328"/>
      <c r="U61" s="230"/>
      <c r="V61" s="230"/>
      <c r="W61" s="230"/>
      <c r="X61" s="866"/>
      <c r="Y61" s="866"/>
      <c r="Z61" s="230"/>
      <c r="AA61" s="230"/>
      <c r="AB61" s="230"/>
      <c r="AD61" s="1463" t="s">
        <v>159</v>
      </c>
      <c r="AE61" s="1464"/>
      <c r="AF61" s="501"/>
      <c r="AG61" s="493"/>
      <c r="AH61" s="1465" t="s">
        <v>160</v>
      </c>
      <c r="AI61" s="1465"/>
      <c r="AJ61" s="1466"/>
    </row>
    <row r="62" spans="1:46" ht="16.5" customHeight="1" x14ac:dyDescent="0.25">
      <c r="A62" s="305"/>
      <c r="B62" s="305"/>
      <c r="C62" s="359"/>
      <c r="D62" s="301"/>
      <c r="E62" s="359"/>
      <c r="F62" s="261"/>
      <c r="G62" s="349"/>
      <c r="H62" s="227"/>
      <c r="I62" s="1270"/>
      <c r="J62" s="261"/>
      <c r="K62" s="261"/>
      <c r="L62" s="301"/>
      <c r="M62" s="301"/>
      <c r="N62" s="227"/>
      <c r="O62" s="25"/>
      <c r="P62" s="25"/>
      <c r="Q62" s="642"/>
      <c r="R62" s="642"/>
      <c r="S62" s="642"/>
      <c r="T62" s="328"/>
      <c r="U62" s="230"/>
      <c r="V62" s="230"/>
      <c r="W62" s="230"/>
      <c r="X62" s="866"/>
      <c r="Y62" s="866"/>
      <c r="Z62" s="230"/>
      <c r="AA62" s="230"/>
      <c r="AB62" s="230"/>
      <c r="AD62" s="643">
        <f>H62</f>
        <v>0</v>
      </c>
      <c r="AE62" s="837"/>
      <c r="AF62" s="495">
        <f>1-AE62</f>
        <v>1</v>
      </c>
      <c r="AG62" s="493"/>
      <c r="AH62" s="644">
        <f>N62</f>
        <v>0</v>
      </c>
      <c r="AI62" s="837"/>
      <c r="AJ62" s="264">
        <f>1-AI62</f>
        <v>1</v>
      </c>
      <c r="AL62" s="4">
        <f>H62*AE62</f>
        <v>0</v>
      </c>
      <c r="AM62" s="4">
        <f>H62*AF62</f>
        <v>0</v>
      </c>
      <c r="AO62" s="4">
        <f t="shared" ref="AO62:AO67" si="29">N62*AI62</f>
        <v>0</v>
      </c>
      <c r="AP62" s="4">
        <f t="shared" ref="AP62:AP67" si="30">N62*AJ62</f>
        <v>0</v>
      </c>
      <c r="AR62" s="4">
        <f>AL62+AO62</f>
        <v>0</v>
      </c>
      <c r="AS62" s="4">
        <f>AM62+AP62</f>
        <v>0</v>
      </c>
      <c r="AT62" s="4">
        <f>SUM(AR62:AS62)</f>
        <v>0</v>
      </c>
    </row>
    <row r="63" spans="1:46" ht="16.5" customHeight="1" x14ac:dyDescent="0.25">
      <c r="A63" s="305"/>
      <c r="B63" s="305"/>
      <c r="C63" s="359"/>
      <c r="D63" s="301"/>
      <c r="E63" s="359"/>
      <c r="F63" s="261"/>
      <c r="G63" s="349"/>
      <c r="H63" s="227"/>
      <c r="I63" s="1270"/>
      <c r="J63" s="261"/>
      <c r="K63" s="261"/>
      <c r="L63" s="301"/>
      <c r="M63" s="301"/>
      <c r="N63" s="227"/>
      <c r="O63" s="25"/>
      <c r="P63" s="25"/>
      <c r="Q63" s="642"/>
      <c r="R63" s="642"/>
      <c r="S63" s="642"/>
      <c r="T63" s="328"/>
      <c r="U63" s="230"/>
      <c r="V63" s="230"/>
      <c r="W63" s="230"/>
      <c r="X63" s="866"/>
      <c r="Y63" s="866"/>
      <c r="Z63" s="230"/>
      <c r="AA63" s="230"/>
      <c r="AB63" s="230"/>
      <c r="AD63" s="643">
        <f>H63</f>
        <v>0</v>
      </c>
      <c r="AE63" s="837"/>
      <c r="AF63" s="495">
        <f t="shared" ref="AF63:AF66" si="31">1-AE63</f>
        <v>1</v>
      </c>
      <c r="AG63" s="493"/>
      <c r="AH63" s="644">
        <f>N63</f>
        <v>0</v>
      </c>
      <c r="AI63" s="837"/>
      <c r="AJ63" s="264">
        <f t="shared" ref="AJ63:AJ70" si="32">1-AI63</f>
        <v>1</v>
      </c>
      <c r="AL63" s="4">
        <f>H63*AE63</f>
        <v>0</v>
      </c>
      <c r="AM63" s="4">
        <f>H63*AF63</f>
        <v>0</v>
      </c>
      <c r="AO63" s="4">
        <f t="shared" si="29"/>
        <v>0</v>
      </c>
      <c r="AP63" s="4">
        <f t="shared" si="30"/>
        <v>0</v>
      </c>
      <c r="AR63" s="4">
        <f t="shared" ref="AR63:AS70" si="33">AL63+AO63</f>
        <v>0</v>
      </c>
      <c r="AS63" s="4">
        <f t="shared" si="33"/>
        <v>0</v>
      </c>
      <c r="AT63" s="4">
        <f t="shared" ref="AT63:AT74" si="34">SUM(AR63:AS63)</f>
        <v>0</v>
      </c>
    </row>
    <row r="64" spans="1:46" ht="16.5" customHeight="1" x14ac:dyDescent="0.25">
      <c r="A64" s="305"/>
      <c r="B64" s="305"/>
      <c r="C64" s="359"/>
      <c r="D64" s="301"/>
      <c r="E64" s="359"/>
      <c r="F64" s="261"/>
      <c r="G64" s="349"/>
      <c r="H64" s="227"/>
      <c r="I64" s="1270"/>
      <c r="J64" s="261"/>
      <c r="K64" s="261"/>
      <c r="L64" s="301"/>
      <c r="M64" s="301"/>
      <c r="N64" s="227"/>
      <c r="O64" s="25"/>
      <c r="P64" s="25"/>
      <c r="Q64" s="642"/>
      <c r="R64" s="642"/>
      <c r="S64" s="642"/>
      <c r="T64" s="328"/>
      <c r="U64" s="230"/>
      <c r="V64" s="230"/>
      <c r="W64" s="230"/>
      <c r="X64" s="866"/>
      <c r="Y64" s="866"/>
      <c r="Z64" s="230"/>
      <c r="AA64" s="230"/>
      <c r="AB64" s="230"/>
      <c r="AD64" s="643">
        <f>H64</f>
        <v>0</v>
      </c>
      <c r="AE64" s="837"/>
      <c r="AF64" s="495">
        <f t="shared" si="31"/>
        <v>1</v>
      </c>
      <c r="AG64" s="493"/>
      <c r="AH64" s="644">
        <f>N64</f>
        <v>0</v>
      </c>
      <c r="AI64" s="837"/>
      <c r="AJ64" s="264">
        <f t="shared" si="32"/>
        <v>1</v>
      </c>
      <c r="AL64" s="4">
        <f>H64*AE64</f>
        <v>0</v>
      </c>
      <c r="AM64" s="4">
        <f>H64*AF64</f>
        <v>0</v>
      </c>
      <c r="AO64" s="4">
        <f t="shared" si="29"/>
        <v>0</v>
      </c>
      <c r="AP64" s="4">
        <f t="shared" si="30"/>
        <v>0</v>
      </c>
      <c r="AR64" s="4">
        <f t="shared" si="33"/>
        <v>0</v>
      </c>
      <c r="AS64" s="4">
        <f t="shared" si="33"/>
        <v>0</v>
      </c>
      <c r="AT64" s="4">
        <f t="shared" si="34"/>
        <v>0</v>
      </c>
    </row>
    <row r="65" spans="1:54" ht="16.5" customHeight="1" x14ac:dyDescent="0.25">
      <c r="A65" s="305"/>
      <c r="B65" s="305"/>
      <c r="C65" s="359"/>
      <c r="D65" s="301"/>
      <c r="E65" s="359"/>
      <c r="F65" s="261"/>
      <c r="G65" s="349"/>
      <c r="H65" s="227"/>
      <c r="I65" s="1270"/>
      <c r="J65" s="261"/>
      <c r="K65" s="261"/>
      <c r="L65" s="301"/>
      <c r="M65" s="301"/>
      <c r="N65" s="227"/>
      <c r="O65" s="25"/>
      <c r="P65" s="25"/>
      <c r="Q65" s="642"/>
      <c r="R65" s="642"/>
      <c r="S65" s="642"/>
      <c r="T65" s="328"/>
      <c r="U65" s="230"/>
      <c r="V65" s="230"/>
      <c r="W65" s="230"/>
      <c r="X65" s="866"/>
      <c r="Y65" s="866"/>
      <c r="Z65" s="230"/>
      <c r="AA65" s="230"/>
      <c r="AB65" s="230"/>
      <c r="AD65" s="643">
        <f>H65</f>
        <v>0</v>
      </c>
      <c r="AE65" s="837"/>
      <c r="AF65" s="495">
        <f t="shared" si="31"/>
        <v>1</v>
      </c>
      <c r="AG65" s="493"/>
      <c r="AH65" s="644">
        <f>N65</f>
        <v>0</v>
      </c>
      <c r="AI65" s="837"/>
      <c r="AJ65" s="264">
        <f t="shared" si="32"/>
        <v>1</v>
      </c>
      <c r="AL65" s="4">
        <f>H65*AE65</f>
        <v>0</v>
      </c>
      <c r="AM65" s="4">
        <f>H65*AF65</f>
        <v>0</v>
      </c>
      <c r="AO65" s="4">
        <f t="shared" si="29"/>
        <v>0</v>
      </c>
      <c r="AP65" s="4">
        <f t="shared" si="30"/>
        <v>0</v>
      </c>
      <c r="AR65" s="4">
        <f t="shared" si="33"/>
        <v>0</v>
      </c>
      <c r="AS65" s="4">
        <f t="shared" si="33"/>
        <v>0</v>
      </c>
      <c r="AT65" s="4">
        <f t="shared" si="34"/>
        <v>0</v>
      </c>
    </row>
    <row r="66" spans="1:54" ht="16.5" customHeight="1" x14ac:dyDescent="0.25">
      <c r="A66" s="305"/>
      <c r="B66" s="305"/>
      <c r="C66" s="359"/>
      <c r="D66" s="301"/>
      <c r="E66" s="359"/>
      <c r="F66" s="261"/>
      <c r="G66" s="349"/>
      <c r="H66" s="227"/>
      <c r="I66" s="1270"/>
      <c r="J66" s="261"/>
      <c r="K66" s="261"/>
      <c r="L66" s="301"/>
      <c r="M66" s="301"/>
      <c r="N66" s="227"/>
      <c r="O66" s="25"/>
      <c r="P66" s="25"/>
      <c r="Q66" s="640"/>
      <c r="R66" s="640"/>
      <c r="S66" s="640"/>
      <c r="T66" s="328"/>
      <c r="U66" s="326"/>
      <c r="V66" s="326"/>
      <c r="W66" s="326"/>
      <c r="X66" s="326"/>
      <c r="Y66" s="326"/>
      <c r="Z66" s="326"/>
      <c r="AA66" s="326"/>
      <c r="AB66" s="326"/>
      <c r="AC66" s="13"/>
      <c r="AD66" s="648">
        <f>H66</f>
        <v>0</v>
      </c>
      <c r="AE66" s="837"/>
      <c r="AF66" s="649">
        <f t="shared" si="31"/>
        <v>1</v>
      </c>
      <c r="AG66" s="496"/>
      <c r="AH66" s="644">
        <f>N66</f>
        <v>0</v>
      </c>
      <c r="AI66" s="837"/>
      <c r="AJ66" s="264">
        <f t="shared" si="32"/>
        <v>1</v>
      </c>
      <c r="AL66" s="4">
        <f>H66*AE66</f>
        <v>0</v>
      </c>
      <c r="AM66" s="4">
        <f>H66*AF66</f>
        <v>0</v>
      </c>
      <c r="AO66" s="4">
        <f t="shared" si="29"/>
        <v>0</v>
      </c>
      <c r="AP66" s="4">
        <f t="shared" si="30"/>
        <v>0</v>
      </c>
      <c r="AR66" s="4">
        <f t="shared" si="33"/>
        <v>0</v>
      </c>
      <c r="AS66" s="4">
        <f t="shared" si="33"/>
        <v>0</v>
      </c>
      <c r="AT66" s="4">
        <f t="shared" si="34"/>
        <v>0</v>
      </c>
    </row>
    <row r="67" spans="1:54" s="56" customFormat="1" ht="4.5" customHeight="1" x14ac:dyDescent="0.25">
      <c r="A67" s="104"/>
      <c r="B67" s="104"/>
      <c r="C67" s="105"/>
      <c r="D67" s="102"/>
      <c r="E67" s="105"/>
      <c r="F67" s="102"/>
      <c r="G67" s="51"/>
      <c r="H67" s="102"/>
      <c r="I67" s="102"/>
      <c r="J67" s="102"/>
      <c r="K67" s="102"/>
      <c r="L67" s="364"/>
      <c r="M67" s="365"/>
      <c r="N67" s="389"/>
      <c r="O67" s="25"/>
      <c r="P67" s="25"/>
      <c r="Q67" s="640"/>
      <c r="R67" s="640"/>
      <c r="S67" s="640"/>
      <c r="T67" s="328"/>
      <c r="U67" s="326"/>
      <c r="V67" s="326"/>
      <c r="W67" s="326"/>
      <c r="X67" s="326"/>
      <c r="Y67" s="326"/>
      <c r="Z67" s="326"/>
      <c r="AA67" s="326"/>
      <c r="AB67" s="326"/>
      <c r="AC67" s="13"/>
      <c r="AD67" s="141"/>
      <c r="AE67" s="113"/>
      <c r="AF67" s="113"/>
      <c r="AG67" s="114"/>
      <c r="AH67" s="149"/>
      <c r="AI67" s="123"/>
      <c r="AJ67" s="142"/>
      <c r="AL67" s="4"/>
      <c r="AM67" s="4"/>
      <c r="AO67" s="4">
        <f t="shared" si="29"/>
        <v>0</v>
      </c>
      <c r="AP67" s="4">
        <f t="shared" si="30"/>
        <v>0</v>
      </c>
      <c r="AR67" s="4">
        <f t="shared" si="33"/>
        <v>0</v>
      </c>
      <c r="AS67" s="4">
        <f t="shared" si="33"/>
        <v>0</v>
      </c>
      <c r="AT67" s="4">
        <f>SUM(AR67:AS67)</f>
        <v>0</v>
      </c>
    </row>
    <row r="68" spans="1:54" ht="16.5" customHeight="1" x14ac:dyDescent="0.25">
      <c r="A68" s="1198" t="s">
        <v>540</v>
      </c>
      <c r="B68" s="1198"/>
      <c r="C68" s="1197"/>
      <c r="D68" s="369"/>
      <c r="E68" s="1197"/>
      <c r="F68" s="369"/>
      <c r="G68" s="368"/>
      <c r="H68" s="369"/>
      <c r="I68" s="369"/>
      <c r="J68" s="369"/>
      <c r="K68" s="369"/>
      <c r="L68" s="369"/>
      <c r="M68" s="369"/>
      <c r="N68" s="390" t="s">
        <v>433</v>
      </c>
      <c r="O68" s="184"/>
      <c r="P68" s="184"/>
      <c r="Q68" s="640"/>
      <c r="R68" s="640"/>
      <c r="S68" s="640"/>
      <c r="T68" s="328"/>
      <c r="U68" s="326"/>
      <c r="V68" s="326"/>
      <c r="W68" s="326"/>
      <c r="X68" s="326"/>
      <c r="Y68" s="326"/>
      <c r="Z68" s="326"/>
      <c r="AA68" s="326"/>
      <c r="AB68" s="326"/>
      <c r="AC68" s="13"/>
      <c r="AD68" s="271"/>
      <c r="AE68" s="259"/>
      <c r="AF68" s="259"/>
      <c r="AG68" s="246"/>
      <c r="AH68" s="650"/>
      <c r="AI68" s="272"/>
      <c r="AJ68" s="273"/>
      <c r="AL68" s="4"/>
      <c r="AM68" s="4"/>
      <c r="AO68" s="4"/>
      <c r="AP68" s="4"/>
      <c r="AR68" s="4"/>
      <c r="AS68" s="4"/>
      <c r="AT68" s="4">
        <f t="shared" si="34"/>
        <v>0</v>
      </c>
    </row>
    <row r="69" spans="1:54" ht="16.5" customHeight="1" x14ac:dyDescent="0.25">
      <c r="A69" s="370" t="s">
        <v>541</v>
      </c>
      <c r="B69" s="1338"/>
      <c r="C69" s="21" t="str">
        <f>'Federal Grad Student'!A20</f>
        <v xml:space="preserve"> Direct Compensation</v>
      </c>
      <c r="D69" s="301"/>
      <c r="E69" s="21"/>
      <c r="F69" s="301"/>
      <c r="G69" s="349"/>
      <c r="H69" s="301"/>
      <c r="I69" s="301"/>
      <c r="J69" s="301"/>
      <c r="K69" s="261"/>
      <c r="L69" s="301"/>
      <c r="M69" s="301"/>
      <c r="N69" s="391">
        <f>IF($L$186="Yes", 'Federal Grad Student'!C101, 0)</f>
        <v>0</v>
      </c>
      <c r="O69" s="25"/>
      <c r="P69" s="25"/>
      <c r="Q69" s="640"/>
      <c r="R69" s="642"/>
      <c r="S69" s="642"/>
      <c r="T69" s="328"/>
      <c r="U69" s="230"/>
      <c r="V69" s="230"/>
      <c r="W69" s="230"/>
      <c r="X69" s="866"/>
      <c r="Y69" s="866"/>
      <c r="Z69" s="230"/>
      <c r="AA69" s="230"/>
      <c r="AB69" s="230"/>
      <c r="AD69" s="492"/>
      <c r="AE69" s="261"/>
      <c r="AF69" s="272"/>
      <c r="AG69" s="262"/>
      <c r="AH69" s="644">
        <f>N69</f>
        <v>0</v>
      </c>
      <c r="AI69" s="504"/>
      <c r="AJ69" s="264">
        <f t="shared" si="32"/>
        <v>1</v>
      </c>
      <c r="AL69" s="4">
        <f>H69*AE69</f>
        <v>0</v>
      </c>
      <c r="AM69" s="4">
        <f>H69*AF69</f>
        <v>0</v>
      </c>
      <c r="AO69" s="4">
        <f>N69*AI69</f>
        <v>0</v>
      </c>
      <c r="AP69" s="4">
        <f>N69*AJ69</f>
        <v>0</v>
      </c>
      <c r="AR69" s="4">
        <f t="shared" si="33"/>
        <v>0</v>
      </c>
      <c r="AS69" s="4">
        <f t="shared" si="33"/>
        <v>0</v>
      </c>
      <c r="AT69" s="4">
        <f t="shared" si="34"/>
        <v>0</v>
      </c>
    </row>
    <row r="70" spans="1:54" ht="16.5" customHeight="1" x14ac:dyDescent="0.25">
      <c r="A70" s="1200" t="s">
        <v>548</v>
      </c>
      <c r="B70" s="1339"/>
      <c r="C70" s="21" t="str">
        <f>'Federal Grad Student'!A21</f>
        <v xml:space="preserve"> Health Insurance</v>
      </c>
      <c r="D70" s="301"/>
      <c r="E70" s="21"/>
      <c r="F70" s="301"/>
      <c r="G70" s="349"/>
      <c r="H70" s="301"/>
      <c r="I70" s="301"/>
      <c r="J70" s="301"/>
      <c r="K70" s="261"/>
      <c r="L70" s="301"/>
      <c r="M70" s="301"/>
      <c r="N70" s="392">
        <f>IF($L$186="Yes", 'Federal Grad Student'!C102, 0)</f>
        <v>0</v>
      </c>
      <c r="O70" s="25"/>
      <c r="P70" s="25"/>
      <c r="Q70" s="640"/>
      <c r="R70" s="642"/>
      <c r="S70" s="642"/>
      <c r="T70" s="328"/>
      <c r="U70" s="230"/>
      <c r="V70" s="230"/>
      <c r="W70" s="230"/>
      <c r="X70" s="866"/>
      <c r="Y70" s="866"/>
      <c r="Z70" s="230"/>
      <c r="AA70" s="230"/>
      <c r="AB70" s="230"/>
      <c r="AD70" s="492"/>
      <c r="AE70" s="261"/>
      <c r="AF70" s="272"/>
      <c r="AG70" s="262"/>
      <c r="AH70" s="644">
        <f>N70</f>
        <v>0</v>
      </c>
      <c r="AI70" s="504"/>
      <c r="AJ70" s="264">
        <f t="shared" si="32"/>
        <v>1</v>
      </c>
      <c r="AL70" s="4">
        <f>H70*AE70</f>
        <v>0</v>
      </c>
      <c r="AM70" s="4">
        <f>H70*AF70</f>
        <v>0</v>
      </c>
      <c r="AO70" s="4">
        <f>N70*AI70</f>
        <v>0</v>
      </c>
      <c r="AP70" s="4">
        <f>N70*AJ70</f>
        <v>0</v>
      </c>
      <c r="AR70" s="4">
        <f t="shared" si="33"/>
        <v>0</v>
      </c>
      <c r="AS70" s="4">
        <f t="shared" si="33"/>
        <v>0</v>
      </c>
      <c r="AT70" s="4">
        <f t="shared" si="34"/>
        <v>0</v>
      </c>
    </row>
    <row r="71" spans="1:54" ht="16.5" customHeight="1" x14ac:dyDescent="0.25">
      <c r="A71" s="372" t="s">
        <v>542</v>
      </c>
      <c r="B71" s="1340"/>
      <c r="C71" s="1199" t="str">
        <f>'Federal Grad Student'!A22</f>
        <v xml:space="preserve"> Tuition/Fees</v>
      </c>
      <c r="D71" s="375"/>
      <c r="E71" s="1199"/>
      <c r="F71" s="375"/>
      <c r="G71" s="374"/>
      <c r="H71" s="375"/>
      <c r="I71" s="375"/>
      <c r="J71" s="375"/>
      <c r="K71" s="358"/>
      <c r="L71" s="375"/>
      <c r="M71" s="375"/>
      <c r="N71" s="393">
        <f>IF($L$186="Yes", 'Federal Grad Student'!C103, 0)</f>
        <v>0</v>
      </c>
      <c r="O71" s="25"/>
      <c r="P71" s="25"/>
      <c r="Q71" s="642" t="s">
        <v>45</v>
      </c>
      <c r="R71" s="642"/>
      <c r="S71" s="642"/>
      <c r="T71" s="328"/>
      <c r="U71" s="230"/>
      <c r="V71" s="230"/>
      <c r="W71" s="230"/>
      <c r="X71" s="866"/>
      <c r="Y71" s="866"/>
      <c r="Z71" s="230"/>
      <c r="AA71" s="230"/>
      <c r="AB71" s="230"/>
      <c r="AD71" s="492"/>
      <c r="AE71" s="261"/>
      <c r="AF71" s="272"/>
      <c r="AG71" s="262"/>
      <c r="AH71" s="262"/>
      <c r="AI71" s="261"/>
      <c r="AJ71" s="273"/>
      <c r="AL71" s="49"/>
      <c r="AM71" s="49"/>
      <c r="AO71" s="50"/>
      <c r="AP71" s="50"/>
      <c r="AR71" s="50"/>
      <c r="AS71" s="50"/>
      <c r="AT71" s="50"/>
    </row>
    <row r="72" spans="1:54" ht="4.5" customHeight="1" x14ac:dyDescent="0.25">
      <c r="A72" s="133"/>
      <c r="B72" s="133"/>
      <c r="C72" s="21"/>
      <c r="D72" s="22"/>
      <c r="E72" s="21"/>
      <c r="F72" s="22"/>
      <c r="G72" s="45"/>
      <c r="H72" s="22"/>
      <c r="I72" s="22"/>
      <c r="J72" s="22"/>
      <c r="K72" s="25"/>
      <c r="L72" s="52"/>
      <c r="M72" s="52"/>
      <c r="N72" s="608"/>
      <c r="O72" s="25"/>
      <c r="P72" s="25"/>
      <c r="Q72" s="642"/>
      <c r="R72" s="642"/>
      <c r="S72" s="642"/>
      <c r="T72" s="328"/>
      <c r="U72" s="230"/>
      <c r="V72" s="230"/>
      <c r="W72" s="230"/>
      <c r="X72" s="866"/>
      <c r="Y72" s="866"/>
      <c r="Z72" s="230"/>
      <c r="AA72" s="230"/>
      <c r="AB72" s="230"/>
      <c r="AD72" s="492"/>
      <c r="AE72" s="261"/>
      <c r="AF72" s="272"/>
      <c r="AG72" s="262"/>
      <c r="AH72" s="262"/>
      <c r="AI72" s="261"/>
      <c r="AJ72" s="273"/>
      <c r="AL72" s="9"/>
      <c r="AM72" s="9"/>
      <c r="AO72" s="159"/>
      <c r="AP72" s="159"/>
      <c r="AR72" s="48"/>
      <c r="AS72" s="48"/>
      <c r="AT72" s="48">
        <f t="shared" si="34"/>
        <v>0</v>
      </c>
    </row>
    <row r="73" spans="1:54" ht="21.75" customHeight="1" x14ac:dyDescent="0.3">
      <c r="A73" s="1201" t="s">
        <v>543</v>
      </c>
      <c r="B73" s="1201"/>
      <c r="C73" s="378"/>
      <c r="D73" s="380"/>
      <c r="E73" s="378"/>
      <c r="F73" s="227"/>
      <c r="G73" s="379"/>
      <c r="H73" s="352"/>
      <c r="J73" s="1"/>
      <c r="K73" s="1203" t="s">
        <v>539</v>
      </c>
      <c r="L73" s="345"/>
      <c r="M73" s="1204" t="s">
        <v>263</v>
      </c>
      <c r="N73" s="487">
        <v>0</v>
      </c>
      <c r="O73" s="25"/>
      <c r="P73" s="25"/>
      <c r="Q73" s="642"/>
      <c r="R73" s="642"/>
      <c r="S73" s="642"/>
      <c r="T73" s="328"/>
      <c r="U73" s="230"/>
      <c r="V73" s="230"/>
      <c r="W73" s="230"/>
      <c r="X73" s="866"/>
      <c r="Y73" s="866"/>
      <c r="Z73" s="230"/>
      <c r="AA73" s="230"/>
      <c r="AB73" s="230"/>
      <c r="AD73" s="505"/>
      <c r="AE73" s="506"/>
      <c r="AF73" s="507"/>
      <c r="AG73" s="508"/>
      <c r="AH73" s="508"/>
      <c r="AI73" s="297">
        <v>0</v>
      </c>
      <c r="AJ73" s="500"/>
      <c r="AO73" s="122">
        <v>0</v>
      </c>
      <c r="AP73" s="122">
        <v>0</v>
      </c>
      <c r="AR73" s="134"/>
      <c r="AS73" s="134"/>
      <c r="AT73" s="48">
        <f t="shared" si="34"/>
        <v>0</v>
      </c>
    </row>
    <row r="74" spans="1:54" ht="16.5" customHeight="1" thickBot="1" x14ac:dyDescent="0.3">
      <c r="A74" s="1210" t="s">
        <v>66</v>
      </c>
      <c r="B74" s="1196"/>
      <c r="C74" s="1169"/>
      <c r="D74" s="1169"/>
      <c r="E74" s="1169"/>
      <c r="F74" s="1169"/>
      <c r="G74" s="1169"/>
      <c r="H74" s="1169"/>
      <c r="I74" s="1169"/>
      <c r="J74" s="1169"/>
      <c r="K74" s="1169"/>
      <c r="L74" s="1169"/>
      <c r="M74" s="1172"/>
      <c r="N74" s="395">
        <f>SUM(H61:H66)+SUM(N61:N66)+SUM(N69:N71)+H73+N73</f>
        <v>0</v>
      </c>
      <c r="O74" s="175"/>
      <c r="P74" s="175"/>
      <c r="Q74" s="1077"/>
      <c r="R74" s="1077"/>
      <c r="S74" s="1077"/>
      <c r="T74" s="1360"/>
      <c r="U74" s="713"/>
      <c r="V74" s="713"/>
      <c r="W74" s="713"/>
      <c r="X74" s="713"/>
      <c r="Y74" s="713"/>
      <c r="Z74" s="713"/>
      <c r="AA74" s="713"/>
      <c r="AB74" s="713"/>
      <c r="AC74" s="713"/>
      <c r="AD74" s="713"/>
      <c r="AE74" s="713"/>
      <c r="AF74" s="265"/>
      <c r="AG74" s="230"/>
      <c r="AH74" s="230"/>
      <c r="AI74" s="265"/>
      <c r="AJ74" s="265"/>
      <c r="AL74" s="4">
        <f>SUM(AL62:AL71)</f>
        <v>0</v>
      </c>
      <c r="AM74" s="4">
        <f>SUM(AM62:AM71)</f>
        <v>0</v>
      </c>
      <c r="AO74" s="4">
        <f>SUM(AO62:AO71)</f>
        <v>0</v>
      </c>
      <c r="AP74" s="4">
        <f>SUM(AP62:AP71)</f>
        <v>0</v>
      </c>
      <c r="AR74" s="4">
        <f>SUM(AR62:AR71)</f>
        <v>0</v>
      </c>
      <c r="AS74" s="4">
        <f>SUM(AS62:AS71)</f>
        <v>0</v>
      </c>
      <c r="AT74" s="135">
        <f t="shared" si="34"/>
        <v>0</v>
      </c>
    </row>
    <row r="75" spans="1:54" ht="16.5" customHeight="1" x14ac:dyDescent="0.25">
      <c r="A75" s="602"/>
      <c r="B75" s="1329"/>
      <c r="C75" s="226"/>
      <c r="D75" s="301"/>
      <c r="E75" s="226"/>
      <c r="F75" s="301"/>
      <c r="G75" s="301"/>
      <c r="H75" s="301"/>
      <c r="I75" s="301"/>
      <c r="J75" s="301"/>
      <c r="K75" s="301"/>
      <c r="L75" s="301"/>
      <c r="M75" s="301"/>
      <c r="N75" s="396"/>
      <c r="O75" s="180"/>
      <c r="P75" s="180"/>
      <c r="Q75" s="1077"/>
      <c r="R75" s="1077"/>
      <c r="S75" s="1077"/>
      <c r="T75" s="1360"/>
      <c r="U75" s="713"/>
      <c r="V75" s="713"/>
      <c r="W75" s="713"/>
      <c r="X75" s="713"/>
      <c r="Y75" s="713"/>
      <c r="Z75" s="713"/>
      <c r="AA75" s="713"/>
      <c r="AB75" s="713"/>
      <c r="AC75" s="713"/>
      <c r="AD75" s="713"/>
      <c r="AE75" s="713"/>
      <c r="AF75" s="265"/>
      <c r="AG75" s="230"/>
      <c r="AH75" s="230"/>
      <c r="AI75" s="265"/>
      <c r="AJ75" s="265"/>
      <c r="AR75" s="126"/>
      <c r="AS75" s="121"/>
    </row>
    <row r="76" spans="1:54" ht="16.5" customHeight="1" x14ac:dyDescent="0.25">
      <c r="A76" s="1187" t="s">
        <v>74</v>
      </c>
      <c r="B76" s="1187"/>
      <c r="C76" s="429"/>
      <c r="D76" s="301"/>
      <c r="E76" s="429"/>
      <c r="F76" s="301"/>
      <c r="G76" s="301"/>
      <c r="H76" s="301"/>
      <c r="I76" s="301"/>
      <c r="J76" s="301"/>
      <c r="K76" s="301"/>
      <c r="L76" s="301"/>
      <c r="M76" s="301"/>
      <c r="N76" s="397">
        <f>SUM(N26,N31,N36,N42,N46,N51,N59,N74)</f>
        <v>0</v>
      </c>
      <c r="O76" s="175"/>
      <c r="P76" s="175"/>
      <c r="Q76" s="1077"/>
      <c r="R76" s="1077"/>
      <c r="S76" s="1077"/>
      <c r="T76" s="1360"/>
      <c r="U76" s="713"/>
      <c r="V76" s="713"/>
      <c r="W76" s="713"/>
      <c r="X76" s="713"/>
      <c r="Y76" s="713"/>
      <c r="Z76" s="713"/>
      <c r="AA76" s="713"/>
      <c r="AB76" s="713"/>
      <c r="AC76" s="713"/>
      <c r="AD76" s="713"/>
      <c r="AE76" s="713"/>
      <c r="AF76" s="265"/>
      <c r="AG76" s="230"/>
      <c r="AH76" s="230"/>
      <c r="AI76" s="265"/>
      <c r="AJ76" s="265"/>
      <c r="AP76" s="126" t="s">
        <v>165</v>
      </c>
      <c r="AR76" s="121">
        <f>AR26+AR36+AR42+AR46+AR54+AR58+AR74</f>
        <v>0</v>
      </c>
      <c r="AS76" s="121">
        <f>AS26+AS36+AS42+AS46+AS54+AS58+AS74</f>
        <v>0</v>
      </c>
      <c r="AT76" s="121">
        <f>AT26+AT36+AT42+AT46+AT54+AT58+AT74</f>
        <v>0</v>
      </c>
      <c r="AU76" s="509">
        <f>B96</f>
        <v>0</v>
      </c>
      <c r="AV76" s="509">
        <f>AU76-AT76</f>
        <v>0</v>
      </c>
    </row>
    <row r="77" spans="1:54" ht="16.5" customHeight="1" x14ac:dyDescent="0.25">
      <c r="A77" s="428"/>
      <c r="B77" s="428"/>
      <c r="C77" s="429"/>
      <c r="D77" s="301"/>
      <c r="E77" s="429"/>
      <c r="F77" s="301"/>
      <c r="G77" s="301"/>
      <c r="H77" s="301"/>
      <c r="I77" s="301"/>
      <c r="J77" s="301"/>
      <c r="K77" s="301"/>
      <c r="L77" s="301"/>
      <c r="M77" s="301"/>
      <c r="N77" s="338"/>
      <c r="O77" s="180"/>
      <c r="P77" s="180"/>
      <c r="Q77" s="1077"/>
      <c r="R77" s="1077"/>
      <c r="S77" s="1077"/>
      <c r="T77" s="1360"/>
      <c r="U77" s="713"/>
      <c r="V77" s="713"/>
      <c r="W77" s="713"/>
      <c r="X77" s="713"/>
      <c r="Y77" s="713"/>
      <c r="Z77" s="713"/>
      <c r="AA77" s="713"/>
      <c r="AB77" s="713"/>
      <c r="AC77" s="713"/>
      <c r="AD77" s="713"/>
      <c r="AE77" s="713"/>
      <c r="AF77" s="265"/>
      <c r="AG77" s="230"/>
      <c r="AH77" s="230"/>
      <c r="AI77" s="265"/>
      <c r="AJ77" s="265"/>
      <c r="AP77" s="1" t="s">
        <v>179</v>
      </c>
      <c r="AR77" s="101">
        <f>L85</f>
        <v>0</v>
      </c>
      <c r="AS77" s="101">
        <f>L89</f>
        <v>0</v>
      </c>
      <c r="AT77" s="220" t="e">
        <f>(AR77*AR79)+(AS77*AS79)</f>
        <v>#DIV/0!</v>
      </c>
    </row>
    <row r="78" spans="1:54" ht="16.5" customHeight="1" x14ac:dyDescent="0.25">
      <c r="A78" s="1187" t="s">
        <v>23</v>
      </c>
      <c r="B78" s="1187"/>
      <c r="C78" s="342"/>
      <c r="D78" s="301"/>
      <c r="E78" s="342"/>
      <c r="F78" s="301"/>
      <c r="G78" s="301"/>
      <c r="H78" s="301"/>
      <c r="I78" s="301"/>
      <c r="J78" s="301"/>
      <c r="K78" s="301"/>
      <c r="L78" s="301"/>
      <c r="M78" s="301"/>
      <c r="N78" s="338"/>
      <c r="O78" s="180"/>
      <c r="P78" s="180"/>
      <c r="Q78" s="1077"/>
      <c r="R78" s="1077"/>
      <c r="S78" s="1077"/>
      <c r="T78" s="1360"/>
      <c r="U78" s="713"/>
      <c r="V78" s="713"/>
      <c r="W78" s="713"/>
      <c r="X78" s="713"/>
      <c r="Y78" s="713"/>
      <c r="Z78" s="713"/>
      <c r="AA78" s="713"/>
      <c r="AB78" s="713"/>
      <c r="AC78" s="713"/>
      <c r="AD78" s="713"/>
      <c r="AE78" s="713"/>
      <c r="AF78" s="265"/>
      <c r="AG78" s="230"/>
      <c r="AH78" s="230"/>
      <c r="AI78" s="265"/>
      <c r="AJ78" s="265"/>
      <c r="AP78" s="126" t="s">
        <v>181</v>
      </c>
      <c r="AR78" s="121">
        <f>AR76*AR77</f>
        <v>0</v>
      </c>
      <c r="AS78" s="121">
        <f>AS76*AS77</f>
        <v>0</v>
      </c>
      <c r="AT78" s="128">
        <f>AR78+AS78</f>
        <v>0</v>
      </c>
    </row>
    <row r="79" spans="1:54" ht="16.5" customHeight="1" x14ac:dyDescent="0.25">
      <c r="A79" s="1171" t="s">
        <v>26</v>
      </c>
      <c r="B79" s="1171"/>
      <c r="C79" s="342"/>
      <c r="D79" s="301"/>
      <c r="E79" s="342"/>
      <c r="F79" s="301"/>
      <c r="G79" s="301"/>
      <c r="H79" s="301"/>
      <c r="I79" s="301"/>
      <c r="J79" s="301"/>
      <c r="K79" s="301"/>
      <c r="L79" s="398">
        <f>N76-N59+L57</f>
        <v>0</v>
      </c>
      <c r="M79" s="301"/>
      <c r="N79" s="338"/>
      <c r="O79" s="180"/>
      <c r="P79" s="180"/>
      <c r="Q79" s="1078"/>
      <c r="R79" s="1078"/>
      <c r="S79" s="1078"/>
      <c r="T79" s="1360"/>
      <c r="U79" s="732"/>
      <c r="V79" s="732"/>
      <c r="W79" s="732"/>
      <c r="X79" s="732"/>
      <c r="Y79" s="732"/>
      <c r="Z79" s="732"/>
      <c r="AA79" s="732"/>
      <c r="AB79" s="732"/>
      <c r="AC79" s="732"/>
      <c r="AD79" s="732"/>
      <c r="AE79" s="732"/>
      <c r="AF79" s="510"/>
      <c r="AG79" s="326"/>
      <c r="AH79" s="326"/>
      <c r="AI79" s="510"/>
      <c r="AJ79" s="510"/>
      <c r="AK79" s="13"/>
      <c r="AL79" s="13"/>
      <c r="AP79" s="126" t="s">
        <v>183</v>
      </c>
      <c r="AR79" s="125" t="e">
        <f>AR76/AT76</f>
        <v>#DIV/0!</v>
      </c>
      <c r="AS79" s="125" t="e">
        <f>AS76/AT76</f>
        <v>#DIV/0!</v>
      </c>
      <c r="AT79" s="155" t="e">
        <f>AR79+AS79</f>
        <v>#DIV/0!</v>
      </c>
      <c r="AU79" s="13"/>
      <c r="AV79" s="13"/>
      <c r="AW79" s="13"/>
      <c r="AX79" s="13"/>
      <c r="AY79" s="13"/>
      <c r="AZ79" s="13"/>
      <c r="BA79" s="13"/>
      <c r="BB79" s="13"/>
    </row>
    <row r="80" spans="1:54" ht="16.5" customHeight="1" thickBot="1" x14ac:dyDescent="0.3">
      <c r="A80" s="1171" t="s">
        <v>75</v>
      </c>
      <c r="B80" s="1171"/>
      <c r="C80" s="226"/>
      <c r="D80" s="301"/>
      <c r="E80" s="226"/>
      <c r="F80" s="301"/>
      <c r="G80" s="301"/>
      <c r="H80" s="301"/>
      <c r="I80" s="301"/>
      <c r="J80" s="301"/>
      <c r="K80" s="301"/>
      <c r="L80" s="398">
        <f>N76-M59</f>
        <v>0</v>
      </c>
      <c r="M80" s="301"/>
      <c r="N80" s="516"/>
      <c r="O80" s="58"/>
      <c r="P80" s="58"/>
      <c r="Q80" s="1078"/>
      <c r="R80" s="1078"/>
      <c r="S80" s="1078"/>
      <c r="T80" s="1360"/>
      <c r="U80" s="732"/>
      <c r="V80" s="732"/>
      <c r="W80" s="732"/>
      <c r="X80" s="732"/>
      <c r="Y80" s="732"/>
      <c r="Z80" s="732"/>
      <c r="AA80" s="732"/>
      <c r="AB80" s="732"/>
      <c r="AC80" s="732"/>
      <c r="AD80" s="732"/>
      <c r="AE80" s="732"/>
      <c r="AF80" s="510"/>
      <c r="AG80" s="326"/>
      <c r="AH80" s="326"/>
      <c r="AI80" s="510"/>
      <c r="AJ80" s="510"/>
      <c r="AK80" s="13"/>
      <c r="AL80" s="13"/>
      <c r="AO80" s="13"/>
      <c r="AP80" s="13"/>
      <c r="AQ80" s="13"/>
      <c r="AR80" s="13"/>
      <c r="AS80" s="13"/>
      <c r="AU80" s="13"/>
      <c r="AV80" s="13"/>
      <c r="AW80" s="13"/>
      <c r="AX80" s="13"/>
      <c r="AY80" s="13"/>
      <c r="AZ80" s="13"/>
      <c r="BA80" s="13"/>
      <c r="BB80" s="13"/>
    </row>
    <row r="81" spans="1:54" ht="16.5" customHeight="1" thickTop="1" thickBot="1" x14ac:dyDescent="0.3">
      <c r="A81" s="1193" t="s">
        <v>108</v>
      </c>
      <c r="B81" s="1193"/>
      <c r="C81" s="1142"/>
      <c r="D81" s="421"/>
      <c r="E81" s="1142"/>
      <c r="F81" s="421"/>
      <c r="G81" s="421"/>
      <c r="H81" s="421"/>
      <c r="I81" s="421"/>
      <c r="J81" s="421"/>
      <c r="K81" s="421"/>
      <c r="L81" s="421"/>
      <c r="M81" s="1173"/>
      <c r="N81" s="609">
        <v>0</v>
      </c>
      <c r="O81" s="175"/>
      <c r="P81" s="175"/>
      <c r="Q81" s="1068"/>
      <c r="R81" s="1068"/>
      <c r="S81" s="1078"/>
      <c r="T81" s="1360"/>
      <c r="U81" s="732"/>
      <c r="V81" s="732"/>
      <c r="W81" s="732"/>
      <c r="X81" s="732"/>
      <c r="Y81" s="732"/>
      <c r="Z81" s="732"/>
      <c r="AA81" s="732"/>
      <c r="AB81" s="732"/>
      <c r="AC81" s="732"/>
      <c r="AD81" s="732"/>
      <c r="AE81" s="732"/>
      <c r="AF81" s="510"/>
      <c r="AG81" s="326"/>
      <c r="AH81" s="326"/>
      <c r="AI81" s="510"/>
      <c r="AJ81" s="510"/>
      <c r="AK81" s="13"/>
      <c r="AL81" s="13"/>
      <c r="AP81" s="126" t="s">
        <v>190</v>
      </c>
      <c r="AT81" s="121">
        <f>N76</f>
        <v>0</v>
      </c>
      <c r="AU81" s="13"/>
      <c r="AV81" s="13"/>
      <c r="AW81" s="13"/>
      <c r="AX81" s="13"/>
      <c r="AY81" s="13"/>
      <c r="AZ81" s="13"/>
      <c r="BA81" s="13"/>
      <c r="BB81" s="13"/>
    </row>
    <row r="82" spans="1:54" ht="16.5" customHeight="1" thickTop="1" x14ac:dyDescent="0.25">
      <c r="A82" s="602"/>
      <c r="B82" s="1329"/>
      <c r="C82" s="226"/>
      <c r="D82" s="301"/>
      <c r="E82" s="226"/>
      <c r="F82" s="301"/>
      <c r="G82" s="301"/>
      <c r="H82" s="301"/>
      <c r="I82" s="301"/>
      <c r="J82" s="301"/>
      <c r="K82" s="301"/>
      <c r="L82" s="301"/>
      <c r="M82" s="301"/>
      <c r="N82" s="517"/>
      <c r="O82" s="180"/>
      <c r="P82" s="180"/>
      <c r="Q82" s="1078"/>
      <c r="R82" s="1078"/>
      <c r="S82" s="1078"/>
      <c r="T82" s="1360"/>
      <c r="U82" s="732"/>
      <c r="V82" s="732"/>
      <c r="W82" s="732"/>
      <c r="X82" s="732"/>
      <c r="Y82" s="732"/>
      <c r="Z82" s="732"/>
      <c r="AA82" s="732"/>
      <c r="AB82" s="732"/>
      <c r="AC82" s="732"/>
      <c r="AD82" s="732"/>
      <c r="AE82" s="732"/>
      <c r="AF82" s="510"/>
      <c r="AG82" s="326"/>
      <c r="AH82" s="326"/>
      <c r="AI82" s="510"/>
      <c r="AJ82" s="510"/>
      <c r="AK82" s="13"/>
      <c r="AL82" s="13"/>
      <c r="AM82" s="13"/>
      <c r="AP82" s="126" t="s">
        <v>191</v>
      </c>
      <c r="AT82" s="121">
        <f>L80</f>
        <v>0</v>
      </c>
      <c r="AU82" s="13"/>
      <c r="AV82" s="13"/>
      <c r="AW82" s="13"/>
      <c r="AX82" s="13"/>
      <c r="AY82" s="13"/>
      <c r="AZ82" s="13"/>
      <c r="BA82" s="13"/>
      <c r="BB82" s="13"/>
    </row>
    <row r="83" spans="1:54" ht="24.75" hidden="1" customHeight="1" x14ac:dyDescent="0.25">
      <c r="A83" s="1099" t="s">
        <v>534</v>
      </c>
      <c r="B83" s="1341"/>
      <c r="C83" s="1100"/>
      <c r="D83" s="1101"/>
      <c r="E83" s="1100"/>
      <c r="F83" s="1101"/>
      <c r="G83" s="1101"/>
      <c r="H83" s="1101"/>
      <c r="I83" s="1101"/>
      <c r="J83" s="1101"/>
      <c r="K83" s="1101"/>
      <c r="L83" s="610" t="s">
        <v>434</v>
      </c>
      <c r="M83" s="261"/>
      <c r="N83" s="518"/>
      <c r="O83" s="175"/>
      <c r="P83" s="175"/>
      <c r="Q83" s="1077"/>
      <c r="R83" s="1077"/>
      <c r="S83" s="1077"/>
      <c r="T83" s="1360"/>
      <c r="U83" s="713"/>
      <c r="V83" s="713"/>
      <c r="W83" s="713"/>
      <c r="X83" s="713"/>
      <c r="Y83" s="713"/>
      <c r="Z83" s="713"/>
      <c r="AA83" s="713"/>
      <c r="AB83" s="713"/>
      <c r="AC83" s="713"/>
      <c r="AD83" s="713"/>
      <c r="AE83" s="713"/>
      <c r="AF83" s="265"/>
      <c r="AG83" s="230"/>
      <c r="AH83" s="230"/>
      <c r="AI83" s="265"/>
      <c r="AJ83" s="265"/>
      <c r="AM83" s="13"/>
      <c r="AN83" s="13"/>
    </row>
    <row r="84" spans="1:54" ht="16.5" hidden="1" customHeight="1" thickBot="1" x14ac:dyDescent="0.3">
      <c r="A84" s="1118" t="s">
        <v>532</v>
      </c>
      <c r="B84" s="1342"/>
      <c r="C84" s="1102"/>
      <c r="D84" s="1103"/>
      <c r="E84" s="1102"/>
      <c r="F84" s="1103"/>
      <c r="G84" s="1103"/>
      <c r="H84" s="1103"/>
      <c r="I84" s="1103"/>
      <c r="J84" s="1103"/>
      <c r="K84" s="1103"/>
      <c r="L84" s="1104" t="str">
        <f>IF(AND(G285="Yes",G287="Yes",L201="Yes"),AR100, IF(AND(G285="Yes", G287="No", L201="Yes"), AR76, " "))</f>
        <v xml:space="preserve"> </v>
      </c>
      <c r="M84" s="261"/>
      <c r="N84" s="518"/>
      <c r="O84" s="175"/>
      <c r="P84" s="175"/>
      <c r="Q84" s="1077"/>
      <c r="R84" s="1077"/>
      <c r="S84" s="1077"/>
      <c r="T84" s="1360"/>
      <c r="U84" s="713"/>
      <c r="V84" s="713"/>
      <c r="W84" s="713"/>
      <c r="X84" s="713"/>
      <c r="Y84" s="713"/>
      <c r="Z84" s="713"/>
      <c r="AA84" s="713"/>
      <c r="AB84" s="713"/>
      <c r="AC84" s="713"/>
      <c r="AD84" s="713"/>
      <c r="AE84" s="713"/>
      <c r="AF84" s="265"/>
      <c r="AG84" s="230"/>
      <c r="AH84" s="230"/>
      <c r="AI84" s="265"/>
      <c r="AJ84" s="265"/>
      <c r="AN84" s="13"/>
    </row>
    <row r="85" spans="1:54" ht="16.5" hidden="1" customHeight="1" thickTop="1" thickBot="1" x14ac:dyDescent="0.3">
      <c r="A85" s="1120" t="s">
        <v>188</v>
      </c>
      <c r="B85" s="1343"/>
      <c r="C85" s="1102"/>
      <c r="D85" s="1103"/>
      <c r="E85" s="1102"/>
      <c r="F85" s="1103"/>
      <c r="G85" s="1103"/>
      <c r="H85" s="1103"/>
      <c r="I85" s="1103"/>
      <c r="J85" s="1103"/>
      <c r="K85" s="1103"/>
      <c r="L85" s="1105"/>
      <c r="M85" s="261"/>
      <c r="N85" s="518"/>
      <c r="O85" s="175"/>
      <c r="P85" s="175"/>
      <c r="Q85" s="1077"/>
      <c r="R85" s="1077"/>
      <c r="S85" s="1077"/>
      <c r="T85" s="1360"/>
      <c r="U85" s="713"/>
      <c r="V85" s="713"/>
      <c r="W85" s="713"/>
      <c r="X85" s="713"/>
      <c r="Y85" s="713"/>
      <c r="Z85" s="713"/>
      <c r="AA85" s="713"/>
      <c r="AB85" s="713"/>
      <c r="AC85" s="713"/>
      <c r="AD85" s="713"/>
      <c r="AE85" s="713"/>
      <c r="AF85" s="265"/>
      <c r="AG85" s="230"/>
      <c r="AH85" s="230"/>
      <c r="AI85" s="265"/>
      <c r="AJ85" s="265"/>
    </row>
    <row r="86" spans="1:54" ht="16.5" hidden="1" customHeight="1" thickTop="1" x14ac:dyDescent="0.25">
      <c r="A86" s="1118" t="s">
        <v>530</v>
      </c>
      <c r="B86" s="1342"/>
      <c r="C86" s="1102"/>
      <c r="D86" s="1103"/>
      <c r="E86" s="1102"/>
      <c r="F86" s="1103"/>
      <c r="G86" s="1103"/>
      <c r="H86" s="1103"/>
      <c r="I86" s="1103"/>
      <c r="J86" s="1103"/>
      <c r="K86" s="1103"/>
      <c r="L86" s="1104" t="str">
        <f>IF(AND(G285="Yes",G287="Yes",L201="Yes"),AR102, IF(AND(G285="Yes", G287="No", L201="Yes"), AR78, " "))</f>
        <v xml:space="preserve"> </v>
      </c>
      <c r="M86" s="261"/>
      <c r="N86" s="518"/>
      <c r="O86" s="175"/>
      <c r="P86" s="175"/>
      <c r="Q86" s="1077"/>
      <c r="R86" s="1077"/>
      <c r="S86" s="1077"/>
      <c r="T86" s="1360"/>
      <c r="U86" s="713"/>
      <c r="V86" s="713"/>
      <c r="W86" s="713"/>
      <c r="X86" s="713"/>
      <c r="Y86" s="713"/>
      <c r="Z86" s="713"/>
      <c r="AA86" s="713"/>
      <c r="AB86" s="713"/>
      <c r="AC86" s="713"/>
      <c r="AD86" s="713"/>
      <c r="AE86" s="713"/>
      <c r="AF86" s="265"/>
      <c r="AG86" s="230"/>
      <c r="AH86" s="230"/>
      <c r="AI86" s="265"/>
      <c r="AJ86" s="265"/>
    </row>
    <row r="87" spans="1:54" ht="8.25" hidden="1" customHeight="1" x14ac:dyDescent="0.25">
      <c r="A87" s="1122"/>
      <c r="B87" s="1344"/>
      <c r="C87" s="1102"/>
      <c r="D87" s="1103"/>
      <c r="E87" s="1102"/>
      <c r="F87" s="1106"/>
      <c r="G87" s="1103"/>
      <c r="H87" s="1103"/>
      <c r="I87" s="1103"/>
      <c r="J87" s="1106"/>
      <c r="K87" s="1107"/>
      <c r="L87" s="1108"/>
      <c r="M87" s="261"/>
      <c r="N87" s="518"/>
      <c r="O87" s="175"/>
      <c r="P87" s="175"/>
      <c r="Q87" s="1077"/>
      <c r="R87" s="1077"/>
      <c r="S87" s="1077"/>
      <c r="T87" s="1360"/>
      <c r="U87" s="713"/>
      <c r="V87" s="713"/>
      <c r="W87" s="713"/>
      <c r="X87" s="713"/>
      <c r="Y87" s="713"/>
      <c r="Z87" s="713"/>
      <c r="AA87" s="713"/>
      <c r="AB87" s="713"/>
      <c r="AC87" s="713"/>
      <c r="AD87" s="713"/>
      <c r="AE87" s="713"/>
      <c r="AF87" s="265"/>
      <c r="AG87" s="230"/>
      <c r="AH87" s="230"/>
      <c r="AI87" s="265"/>
      <c r="AJ87" s="265"/>
    </row>
    <row r="88" spans="1:54" ht="16.5" hidden="1" customHeight="1" thickBot="1" x14ac:dyDescent="0.3">
      <c r="A88" s="1118" t="s">
        <v>533</v>
      </c>
      <c r="B88" s="1342"/>
      <c r="C88" s="1102"/>
      <c r="D88" s="1103"/>
      <c r="E88" s="1102"/>
      <c r="F88" s="1103"/>
      <c r="G88" s="1103"/>
      <c r="H88" s="1103"/>
      <c r="I88" s="1103"/>
      <c r="J88" s="1103"/>
      <c r="K88" s="1103"/>
      <c r="L88" s="1104" t="str">
        <f>IF(AND(G285="Yes",G287="Yes",L201="Yes"),AS100,IF(AND(G285="Yes",G287="No",L201="Yes"),AS76," "))</f>
        <v xml:space="preserve"> </v>
      </c>
      <c r="M88" s="261"/>
      <c r="N88" s="518"/>
      <c r="O88" s="175"/>
      <c r="P88" s="175"/>
      <c r="Q88" s="1077"/>
      <c r="R88" s="1077"/>
      <c r="S88" s="1077"/>
      <c r="T88" s="1360"/>
      <c r="U88" s="713"/>
      <c r="V88" s="713"/>
      <c r="W88" s="713"/>
      <c r="X88" s="713"/>
      <c r="Y88" s="713"/>
      <c r="Z88" s="713"/>
      <c r="AA88" s="713"/>
      <c r="AB88" s="713"/>
      <c r="AC88" s="713"/>
      <c r="AD88" s="713"/>
      <c r="AE88" s="713"/>
      <c r="AF88" s="265"/>
      <c r="AG88" s="230"/>
      <c r="AH88" s="230"/>
      <c r="AI88" s="265"/>
      <c r="AJ88" s="265"/>
    </row>
    <row r="89" spans="1:54" ht="16.5" hidden="1" customHeight="1" thickTop="1" thickBot="1" x14ac:dyDescent="0.3">
      <c r="A89" s="1120" t="s">
        <v>52</v>
      </c>
      <c r="B89" s="1343"/>
      <c r="C89" s="1102"/>
      <c r="D89" s="1103"/>
      <c r="E89" s="1102"/>
      <c r="F89" s="1103"/>
      <c r="G89" s="1103"/>
      <c r="H89" s="1103"/>
      <c r="I89" s="1103"/>
      <c r="J89" s="1103"/>
      <c r="K89" s="1103"/>
      <c r="L89" s="1105"/>
      <c r="M89" s="261"/>
      <c r="N89" s="518"/>
      <c r="O89" s="175"/>
      <c r="P89" s="175"/>
      <c r="Q89" s="1077"/>
      <c r="R89" s="1077"/>
      <c r="S89" s="1077"/>
      <c r="T89" s="1360"/>
      <c r="U89" s="713"/>
      <c r="V89" s="713"/>
      <c r="W89" s="713"/>
      <c r="X89" s="713"/>
      <c r="Y89" s="713"/>
      <c r="Z89" s="713"/>
      <c r="AA89" s="713"/>
      <c r="AB89" s="713"/>
      <c r="AC89" s="713"/>
      <c r="AD89" s="713"/>
      <c r="AE89" s="713"/>
      <c r="AF89" s="265"/>
      <c r="AG89" s="230"/>
      <c r="AH89" s="230"/>
      <c r="AI89" s="265"/>
      <c r="AJ89" s="265"/>
    </row>
    <row r="90" spans="1:54" ht="16.5" hidden="1" customHeight="1" thickTop="1" x14ac:dyDescent="0.25">
      <c r="A90" s="1118" t="s">
        <v>531</v>
      </c>
      <c r="B90" s="1342"/>
      <c r="C90" s="1109"/>
      <c r="D90" s="1110"/>
      <c r="E90" s="1109"/>
      <c r="F90" s="1110"/>
      <c r="G90" s="1110"/>
      <c r="H90" s="1110"/>
      <c r="I90" s="1110"/>
      <c r="J90" s="1110"/>
      <c r="K90" s="1110"/>
      <c r="L90" s="1111" t="str">
        <f>IF(AND(G285="Yes",G287="Yes",L201="Yes"),AS102,IF(AND(G285="Yes",G287="No",L201="Yes"),AS78," "))</f>
        <v xml:space="preserve"> </v>
      </c>
      <c r="M90" s="301"/>
      <c r="N90" s="518"/>
      <c r="O90" s="175"/>
      <c r="P90" s="175"/>
      <c r="Q90" s="1077"/>
      <c r="R90" s="1077"/>
      <c r="S90" s="1077"/>
      <c r="T90" s="1360"/>
      <c r="U90" s="713"/>
      <c r="V90" s="713"/>
      <c r="W90" s="713"/>
      <c r="X90" s="713"/>
      <c r="Y90" s="713"/>
      <c r="Z90" s="713"/>
      <c r="AA90" s="713"/>
      <c r="AB90" s="713"/>
      <c r="AC90" s="713"/>
      <c r="AD90" s="713"/>
      <c r="AE90" s="713"/>
      <c r="AF90" s="265"/>
      <c r="AG90" s="230"/>
      <c r="AH90" s="230"/>
      <c r="AI90" s="265"/>
      <c r="AJ90" s="265"/>
    </row>
    <row r="91" spans="1:54" ht="5.25" hidden="1" customHeight="1" x14ac:dyDescent="0.3">
      <c r="A91" s="405"/>
      <c r="B91" s="405"/>
      <c r="C91" s="226"/>
      <c r="D91" s="301"/>
      <c r="E91" s="226"/>
      <c r="F91" s="406"/>
      <c r="G91" s="301"/>
      <c r="H91" s="301"/>
      <c r="I91" s="301"/>
      <c r="J91" s="406"/>
      <c r="K91" s="407"/>
      <c r="L91" s="434"/>
      <c r="M91" s="301"/>
      <c r="N91" s="518"/>
      <c r="O91" s="175"/>
      <c r="P91" s="175"/>
      <c r="Q91" s="1077"/>
      <c r="R91" s="1077"/>
      <c r="S91" s="1077"/>
      <c r="T91" s="1360"/>
      <c r="U91" s="713"/>
      <c r="V91" s="713"/>
      <c r="W91" s="713"/>
      <c r="X91" s="713"/>
      <c r="Y91" s="713"/>
      <c r="Z91" s="713"/>
      <c r="AA91" s="713"/>
      <c r="AB91" s="713"/>
      <c r="AC91" s="713"/>
      <c r="AD91" s="713"/>
      <c r="AE91" s="713"/>
      <c r="AF91" s="265"/>
      <c r="AG91" s="230"/>
      <c r="AH91" s="230"/>
      <c r="AI91" s="265"/>
      <c r="AJ91" s="265"/>
    </row>
    <row r="92" spans="1:54" ht="16.5" hidden="1" customHeight="1" x14ac:dyDescent="0.25">
      <c r="A92" s="403"/>
      <c r="B92" s="403"/>
      <c r="C92" s="412" t="str">
        <f>IF(L201="Yes", "Combined F&amp;A Rate", " ")</f>
        <v xml:space="preserve"> </v>
      </c>
      <c r="D92" s="230"/>
      <c r="E92" s="412"/>
      <c r="F92" s="410" t="str">
        <f>IF(L201="Yes", "Amount of Base Subtotal", " ")</f>
        <v xml:space="preserve"> </v>
      </c>
      <c r="G92" s="413" t="str">
        <f>IF(L201="Yes", AT77, " ")</f>
        <v xml:space="preserve"> </v>
      </c>
      <c r="H92" s="301"/>
      <c r="I92" s="301"/>
      <c r="J92" s="410"/>
      <c r="K92" s="614" t="str">
        <f>IF(L201="Yes", L84+L88, " ")</f>
        <v xml:space="preserve"> </v>
      </c>
      <c r="L92" s="435"/>
      <c r="M92" s="301"/>
      <c r="N92" s="518"/>
      <c r="O92" s="175"/>
      <c r="P92" s="175"/>
      <c r="Q92" s="1077"/>
      <c r="R92" s="1077"/>
      <c r="S92" s="1077"/>
      <c r="T92" s="1360"/>
      <c r="U92" s="713"/>
      <c r="V92" s="713"/>
      <c r="W92" s="713"/>
      <c r="X92" s="713"/>
      <c r="Y92" s="713"/>
      <c r="Z92" s="713"/>
      <c r="AA92" s="713"/>
      <c r="AB92" s="713"/>
      <c r="AC92" s="713"/>
      <c r="AD92" s="713"/>
      <c r="AE92" s="713"/>
      <c r="AF92" s="265"/>
      <c r="AG92" s="230"/>
      <c r="AH92" s="230"/>
      <c r="AI92" s="265"/>
      <c r="AJ92" s="265"/>
    </row>
    <row r="93" spans="1:54" ht="16.5" hidden="1" customHeight="1" thickBot="1" x14ac:dyDescent="0.3">
      <c r="A93" s="408" t="s">
        <v>156</v>
      </c>
      <c r="B93" s="1345"/>
      <c r="C93" s="409"/>
      <c r="D93" s="375"/>
      <c r="E93" s="409"/>
      <c r="F93" s="375"/>
      <c r="G93" s="375"/>
      <c r="H93" s="375"/>
      <c r="I93" s="375"/>
      <c r="J93" s="375"/>
      <c r="K93" s="375"/>
      <c r="L93" s="402" t="str">
        <f>IF(AND(G285="Yes",G287="Yes",L201="Yes"),L86+L90, IF(AND(G285="Yes", G287="No", L201="Yes"), L86+L90, " "))</f>
        <v xml:space="preserve"> </v>
      </c>
      <c r="M93" s="301"/>
      <c r="N93" s="518"/>
      <c r="O93" s="175"/>
      <c r="P93" s="175"/>
      <c r="Q93" s="1077"/>
      <c r="R93" s="1077"/>
      <c r="S93" s="1077"/>
      <c r="T93" s="1360"/>
      <c r="U93" s="713"/>
      <c r="V93" s="713"/>
      <c r="W93" s="713"/>
      <c r="X93" s="713"/>
      <c r="Y93" s="713"/>
      <c r="Z93" s="713"/>
      <c r="AA93" s="713"/>
      <c r="AB93" s="713"/>
      <c r="AC93" s="713"/>
      <c r="AD93" s="713"/>
      <c r="AE93" s="713"/>
      <c r="AF93" s="265"/>
      <c r="AG93" s="230"/>
      <c r="AH93" s="230"/>
      <c r="AI93" s="265"/>
      <c r="AJ93" s="265"/>
      <c r="AP93" s="127" t="s">
        <v>193</v>
      </c>
      <c r="AT93" s="121">
        <f>N81</f>
        <v>0</v>
      </c>
    </row>
    <row r="94" spans="1:54" ht="16.5" hidden="1" customHeight="1" x14ac:dyDescent="0.25">
      <c r="A94" s="602"/>
      <c r="B94" s="1329"/>
      <c r="C94" s="226"/>
      <c r="D94" s="262"/>
      <c r="E94" s="226"/>
      <c r="F94" s="262"/>
      <c r="G94" s="262"/>
      <c r="H94" s="262"/>
      <c r="I94" s="262"/>
      <c r="J94" s="262"/>
      <c r="K94" s="415"/>
      <c r="L94" s="301"/>
      <c r="M94" s="301"/>
      <c r="N94" s="416"/>
      <c r="O94" s="174"/>
      <c r="P94" s="174"/>
      <c r="Q94" s="1077"/>
      <c r="R94" s="1077"/>
      <c r="S94" s="1077"/>
      <c r="T94" s="1360"/>
      <c r="U94" s="713"/>
      <c r="V94" s="713"/>
      <c r="W94" s="713"/>
      <c r="X94" s="713"/>
      <c r="Y94" s="713"/>
      <c r="Z94" s="713"/>
      <c r="AA94" s="713"/>
      <c r="AB94" s="713"/>
      <c r="AC94" s="713"/>
      <c r="AD94" s="713"/>
      <c r="AE94" s="713"/>
      <c r="AF94" s="265"/>
      <c r="AG94" s="230"/>
      <c r="AH94" s="230"/>
      <c r="AI94" s="265"/>
      <c r="AJ94" s="265"/>
      <c r="AO94" s="13"/>
      <c r="AP94" s="127" t="s">
        <v>192</v>
      </c>
      <c r="AQ94" s="13"/>
      <c r="AR94" s="14"/>
      <c r="AS94" s="4"/>
      <c r="AT94" s="128">
        <f>AT82</f>
        <v>0</v>
      </c>
    </row>
    <row r="95" spans="1:54" ht="16.5" customHeight="1" thickBot="1" x14ac:dyDescent="0.3">
      <c r="A95" s="1187" t="s">
        <v>49</v>
      </c>
      <c r="B95" s="1187"/>
      <c r="C95" s="342"/>
      <c r="D95" s="301"/>
      <c r="E95" s="342"/>
      <c r="F95" s="301"/>
      <c r="G95" s="301"/>
      <c r="I95" s="301"/>
      <c r="J95" s="301"/>
      <c r="K95" s="301"/>
      <c r="L95" s="301"/>
      <c r="M95" s="301"/>
      <c r="N95" s="338"/>
      <c r="O95" s="180"/>
      <c r="P95" s="180"/>
      <c r="Q95" s="1078"/>
      <c r="R95" s="1078"/>
      <c r="S95" s="1078"/>
      <c r="T95" s="1360"/>
      <c r="U95" s="732"/>
      <c r="V95" s="732"/>
      <c r="W95" s="732"/>
      <c r="X95" s="732"/>
      <c r="Y95" s="732"/>
      <c r="Z95" s="732"/>
      <c r="AA95" s="732"/>
      <c r="AB95" s="732"/>
      <c r="AC95" s="732"/>
      <c r="AD95" s="732"/>
      <c r="AE95" s="732"/>
      <c r="AF95" s="510"/>
      <c r="AG95" s="326"/>
      <c r="AH95" s="326"/>
      <c r="AI95" s="510"/>
      <c r="AJ95" s="510"/>
      <c r="AK95" s="13"/>
      <c r="AL95" s="13"/>
      <c r="AM95" s="13"/>
      <c r="AN95" s="13"/>
      <c r="AO95" s="13"/>
      <c r="AP95" s="127" t="s">
        <v>163</v>
      </c>
      <c r="AQ95" s="13"/>
      <c r="AR95" s="13"/>
      <c r="AT95" s="158">
        <f>IF(AT94&gt;AT93, 0, AT93-AT94)</f>
        <v>0</v>
      </c>
      <c r="AU95" s="13"/>
      <c r="AV95" s="13"/>
      <c r="AW95" s="13"/>
      <c r="AX95" s="13"/>
      <c r="AY95" s="13"/>
      <c r="AZ95" s="13"/>
      <c r="BA95" s="13"/>
      <c r="BB95" s="13"/>
    </row>
    <row r="96" spans="1:54" ht="16.5" customHeight="1" thickTop="1" thickBot="1" x14ac:dyDescent="0.3">
      <c r="A96" s="1171" t="s">
        <v>24</v>
      </c>
      <c r="B96" s="411">
        <f>IF(AND(G285="Yes",G287="Yes"),N81-L59-F73-N71-N51-N31+N184+N128,IF(AND(G285="Yes",G287="No"),L80-L59-F73-N71-N51-N31+N184+N128, N76-N234-N235-N236))</f>
        <v>0</v>
      </c>
      <c r="C96" s="226"/>
      <c r="D96" s="301"/>
      <c r="E96" s="226"/>
      <c r="F96" s="301"/>
      <c r="G96" s="1171" t="s">
        <v>52</v>
      </c>
      <c r="H96" s="1095">
        <v>0.69</v>
      </c>
      <c r="I96" s="301"/>
      <c r="J96" s="301"/>
      <c r="K96" s="301"/>
      <c r="M96" s="1202" t="s">
        <v>48</v>
      </c>
      <c r="N96" s="414">
        <f>IF(L201="No", B96*H96, " ")</f>
        <v>0</v>
      </c>
      <c r="O96" s="180"/>
      <c r="P96" s="180"/>
      <c r="Q96" s="1068"/>
      <c r="R96" s="1068"/>
      <c r="S96" s="1078"/>
      <c r="T96" s="1360"/>
      <c r="U96" s="732"/>
      <c r="V96" s="732"/>
      <c r="W96" s="732"/>
      <c r="X96" s="732"/>
      <c r="Y96" s="732"/>
      <c r="Z96" s="732"/>
      <c r="AA96" s="732"/>
      <c r="AB96" s="732"/>
      <c r="AC96" s="732"/>
      <c r="AD96" s="732"/>
      <c r="AE96" s="732"/>
      <c r="AF96" s="510"/>
      <c r="AG96" s="326"/>
      <c r="AH96" s="326"/>
      <c r="AI96" s="510"/>
      <c r="AJ96" s="510"/>
      <c r="AK96" s="13"/>
      <c r="AL96" s="13"/>
      <c r="AM96" s="13"/>
      <c r="AN96" s="13"/>
      <c r="AP96" s="126" t="s">
        <v>164</v>
      </c>
      <c r="AR96" s="125" t="e">
        <f>AR76/AT76</f>
        <v>#DIV/0!</v>
      </c>
      <c r="AS96" s="125" t="e">
        <f>AS76/AT76</f>
        <v>#DIV/0!</v>
      </c>
      <c r="AT96" s="152" t="e">
        <f>AR96+AS96</f>
        <v>#DIV/0!</v>
      </c>
      <c r="AU96" s="13"/>
      <c r="AV96" s="13"/>
      <c r="AW96" s="13"/>
      <c r="AX96" s="13"/>
      <c r="AY96" s="13"/>
      <c r="AZ96" s="13"/>
      <c r="BA96" s="13"/>
      <c r="BB96" s="13"/>
    </row>
    <row r="97" spans="1:46" ht="16.5" hidden="1" customHeight="1" x14ac:dyDescent="0.25">
      <c r="A97" s="602"/>
      <c r="B97" s="1329"/>
      <c r="C97" s="226"/>
      <c r="D97" s="262"/>
      <c r="E97" s="226"/>
      <c r="F97" s="262"/>
      <c r="G97" s="262"/>
      <c r="H97" s="262"/>
      <c r="I97" s="262"/>
      <c r="J97" s="262"/>
      <c r="K97" s="415"/>
      <c r="L97" s="301"/>
      <c r="M97" s="301"/>
      <c r="N97" s="416"/>
      <c r="O97" s="174"/>
      <c r="P97" s="174"/>
      <c r="Q97" s="1077"/>
      <c r="R97" s="1077"/>
      <c r="S97" s="1077"/>
      <c r="T97" s="1360"/>
      <c r="U97" s="713"/>
      <c r="V97" s="713"/>
      <c r="W97" s="713"/>
      <c r="X97" s="713"/>
      <c r="Y97" s="713"/>
      <c r="Z97" s="713"/>
      <c r="AA97" s="713"/>
      <c r="AB97" s="713"/>
      <c r="AC97" s="713"/>
      <c r="AD97" s="713"/>
      <c r="AE97" s="713"/>
      <c r="AF97" s="265"/>
      <c r="AG97" s="230"/>
      <c r="AH97" s="230"/>
      <c r="AI97" s="265"/>
      <c r="AJ97" s="265"/>
      <c r="AP97" s="126" t="s">
        <v>180</v>
      </c>
      <c r="AR97" s="4" t="e">
        <f>#REF!*#REF!</f>
        <v>#REF!</v>
      </c>
      <c r="AS97" s="4" t="e">
        <f>#REF!*#REF!</f>
        <v>#REF!</v>
      </c>
      <c r="AT97" s="129" t="e">
        <f>#REF!*#REF!</f>
        <v>#REF!</v>
      </c>
    </row>
    <row r="98" spans="1:46" ht="16.5" hidden="1" customHeight="1" x14ac:dyDescent="0.25">
      <c r="A98" s="602"/>
      <c r="B98" s="1329"/>
      <c r="C98" s="226"/>
      <c r="D98" s="262"/>
      <c r="E98" s="226"/>
      <c r="F98" s="262"/>
      <c r="G98" s="262"/>
      <c r="H98" s="262"/>
      <c r="I98" s="262"/>
      <c r="J98" s="262"/>
      <c r="K98" s="415"/>
      <c r="L98" s="301"/>
      <c r="M98" s="301"/>
      <c r="N98" s="416"/>
      <c r="O98" s="174"/>
      <c r="P98" s="174"/>
      <c r="Q98" s="1077"/>
      <c r="R98" s="1077"/>
      <c r="S98" s="1077"/>
      <c r="T98" s="1360"/>
      <c r="U98" s="713"/>
      <c r="V98" s="713"/>
      <c r="W98" s="713"/>
      <c r="X98" s="713"/>
      <c r="Y98" s="713"/>
      <c r="Z98" s="713"/>
      <c r="AA98" s="713"/>
      <c r="AB98" s="713"/>
      <c r="AC98" s="713"/>
      <c r="AD98" s="713"/>
      <c r="AE98" s="713"/>
      <c r="AF98" s="265"/>
      <c r="AG98" s="230"/>
      <c r="AH98" s="230"/>
      <c r="AI98" s="265"/>
      <c r="AJ98" s="265"/>
    </row>
    <row r="99" spans="1:46" ht="16.5" customHeight="1" thickTop="1" thickBot="1" x14ac:dyDescent="0.3">
      <c r="A99" s="602"/>
      <c r="B99" s="1329"/>
      <c r="C99" s="226"/>
      <c r="D99" s="262"/>
      <c r="E99" s="226"/>
      <c r="F99" s="262"/>
      <c r="G99" s="262"/>
      <c r="H99" s="262"/>
      <c r="I99" s="281"/>
      <c r="J99" s="262"/>
      <c r="K99" s="415"/>
      <c r="L99" s="301"/>
      <c r="M99" s="230"/>
      <c r="N99" s="416"/>
      <c r="O99" s="174"/>
      <c r="P99" s="174"/>
      <c r="Q99" s="1077"/>
      <c r="R99" s="1077"/>
      <c r="S99" s="1077"/>
      <c r="T99" s="1360"/>
      <c r="U99" s="713"/>
      <c r="V99" s="713"/>
      <c r="W99" s="713"/>
      <c r="X99" s="713"/>
      <c r="Y99" s="713"/>
      <c r="Z99" s="713"/>
      <c r="AA99" s="713"/>
      <c r="AB99" s="713"/>
      <c r="AC99" s="713"/>
      <c r="AD99" s="713"/>
      <c r="AE99" s="713"/>
      <c r="AF99" s="265"/>
      <c r="AG99" s="230"/>
      <c r="AH99" s="230"/>
      <c r="AI99" s="265"/>
      <c r="AJ99" s="265"/>
    </row>
    <row r="100" spans="1:46" ht="16.5" customHeight="1" x14ac:dyDescent="0.25">
      <c r="A100" s="1202" t="s">
        <v>18</v>
      </c>
      <c r="B100" s="1327"/>
      <c r="C100" s="418"/>
      <c r="D100" s="419"/>
      <c r="E100" s="418"/>
      <c r="F100" s="419"/>
      <c r="G100" s="419"/>
      <c r="H100" s="419"/>
      <c r="I100" s="419"/>
      <c r="J100" s="419"/>
      <c r="K100" s="420"/>
      <c r="L100" s="421"/>
      <c r="M100" s="421"/>
      <c r="N100" s="422">
        <f>IF(AND(G285="Yes",G287="Yes",L201="No"),N81+M59+N96,IF(AND(G285="Yes",G287="No",L201="No"),N76+N96,IF(AND(G285="Yes",G287="Yes",L201="Yes"),N81+M59+L93,IF(AND(G285="Yes",G287="No",L201="Yes"),N76+L93,IF(AND(G285="No", G287="No", L201="No"),N76+N96, N76+N96)))))</f>
        <v>0</v>
      </c>
      <c r="O100" s="175"/>
      <c r="P100" s="175"/>
      <c r="Q100" s="1077"/>
      <c r="R100" s="1077"/>
      <c r="S100" s="1077"/>
      <c r="T100" s="1360"/>
      <c r="U100" s="713"/>
      <c r="V100" s="713"/>
      <c r="W100" s="713"/>
      <c r="X100" s="713"/>
      <c r="Y100" s="713"/>
      <c r="Z100" s="713"/>
      <c r="AA100" s="713"/>
      <c r="AB100" s="713"/>
      <c r="AC100" s="713"/>
      <c r="AD100" s="713"/>
      <c r="AE100" s="713"/>
      <c r="AF100" s="265"/>
      <c r="AG100" s="230"/>
      <c r="AH100" s="230"/>
      <c r="AI100" s="265"/>
      <c r="AJ100" s="265"/>
      <c r="AP100" s="126" t="s">
        <v>184</v>
      </c>
      <c r="AR100" s="4" t="e">
        <f>AR76+#REF!</f>
        <v>#REF!</v>
      </c>
      <c r="AS100" s="4" t="e">
        <f>AS76+#REF!</f>
        <v>#REF!</v>
      </c>
      <c r="AT100" s="4" t="e">
        <f>AR100+AS100</f>
        <v>#REF!</v>
      </c>
    </row>
    <row r="101" spans="1:46" ht="16.5" customHeight="1" x14ac:dyDescent="0.25">
      <c r="A101" s="617"/>
      <c r="B101" s="617"/>
      <c r="C101" s="618"/>
      <c r="D101" s="230"/>
      <c r="E101" s="618"/>
      <c r="F101" s="230"/>
      <c r="G101" s="230"/>
      <c r="H101" s="230"/>
      <c r="I101" s="230"/>
      <c r="J101" s="866"/>
      <c r="K101" s="230"/>
      <c r="L101" s="619"/>
      <c r="M101" s="619"/>
      <c r="N101" s="620"/>
      <c r="O101" s="185"/>
      <c r="P101" s="185"/>
      <c r="Q101" s="1077"/>
      <c r="R101" s="1077"/>
      <c r="S101" s="1077"/>
      <c r="T101" s="1360"/>
      <c r="U101" s="713"/>
      <c r="V101" s="713"/>
      <c r="W101" s="713"/>
      <c r="X101" s="713"/>
      <c r="Y101" s="713"/>
      <c r="Z101" s="713"/>
      <c r="AA101" s="713"/>
      <c r="AB101" s="713"/>
      <c r="AC101" s="713"/>
      <c r="AD101" s="713"/>
      <c r="AE101" s="713"/>
      <c r="AF101" s="265"/>
      <c r="AG101" s="230"/>
      <c r="AH101" s="230"/>
      <c r="AI101" s="265"/>
      <c r="AJ101" s="265"/>
      <c r="AP101" s="1" t="s">
        <v>179</v>
      </c>
      <c r="AR101" s="101">
        <f>L85</f>
        <v>0</v>
      </c>
      <c r="AS101" s="101">
        <f>L89</f>
        <v>0</v>
      </c>
      <c r="AT101" s="154" t="e">
        <f>#REF!</f>
        <v>#REF!</v>
      </c>
    </row>
    <row r="102" spans="1:46" ht="14.4" thickBot="1" x14ac:dyDescent="0.3">
      <c r="A102" s="621"/>
      <c r="B102" s="843"/>
      <c r="C102" s="622"/>
      <c r="D102" s="623"/>
      <c r="E102" s="844"/>
      <c r="F102" s="623"/>
      <c r="G102" s="623"/>
      <c r="H102" s="623"/>
      <c r="I102" s="623"/>
      <c r="J102" s="845"/>
      <c r="K102" s="623"/>
      <c r="L102" s="623"/>
      <c r="M102" s="623"/>
      <c r="N102" s="623"/>
      <c r="O102" s="186"/>
      <c r="P102" s="186"/>
      <c r="Q102" s="1077"/>
      <c r="R102" s="1077"/>
      <c r="S102" s="1077"/>
      <c r="T102" s="1360"/>
      <c r="U102" s="713"/>
      <c r="V102" s="713"/>
      <c r="W102" s="713"/>
      <c r="X102" s="713"/>
      <c r="Y102" s="713"/>
      <c r="Z102" s="713"/>
      <c r="AA102" s="713"/>
      <c r="AB102" s="713"/>
      <c r="AC102" s="713"/>
      <c r="AD102" s="713"/>
      <c r="AE102" s="713"/>
      <c r="AF102" s="265"/>
      <c r="AG102" s="230"/>
      <c r="AH102" s="230"/>
      <c r="AI102" s="265"/>
      <c r="AJ102" s="265"/>
      <c r="AP102" s="153" t="s">
        <v>182</v>
      </c>
      <c r="AQ102" s="161"/>
      <c r="AR102" s="121" t="e">
        <f>AR78+AR97</f>
        <v>#REF!</v>
      </c>
      <c r="AS102" s="121" t="e">
        <f>AS78+AS97</f>
        <v>#REF!</v>
      </c>
      <c r="AT102" s="121" t="e">
        <f>AR102+AS102</f>
        <v>#REF!</v>
      </c>
    </row>
    <row r="103" spans="1:46" x14ac:dyDescent="0.25">
      <c r="A103" s="863" t="s">
        <v>441</v>
      </c>
      <c r="B103" s="863"/>
      <c r="C103" s="624"/>
      <c r="D103" s="625"/>
      <c r="E103" s="864"/>
      <c r="F103" s="625"/>
      <c r="G103" s="625"/>
      <c r="H103" s="625"/>
      <c r="I103" s="625"/>
      <c r="J103" s="865"/>
      <c r="K103" s="625"/>
      <c r="L103" s="625"/>
      <c r="M103" s="625"/>
      <c r="N103" s="625"/>
      <c r="O103" s="186"/>
      <c r="P103" s="186"/>
      <c r="Q103" s="642"/>
      <c r="R103" s="642"/>
      <c r="S103" s="642"/>
      <c r="T103" s="328"/>
      <c r="U103" s="230"/>
      <c r="V103" s="230"/>
      <c r="W103" s="230"/>
      <c r="X103" s="866"/>
      <c r="Y103" s="866"/>
      <c r="Z103" s="230"/>
      <c r="AA103" s="230"/>
      <c r="AB103" s="230"/>
      <c r="AD103" s="230"/>
      <c r="AE103" s="265"/>
      <c r="AF103" s="265"/>
      <c r="AG103" s="230"/>
      <c r="AH103" s="230"/>
      <c r="AI103" s="265"/>
      <c r="AJ103" s="265"/>
      <c r="AR103" s="129" t="e">
        <f>AR100*AR101</f>
        <v>#REF!</v>
      </c>
      <c r="AS103" s="129" t="e">
        <f>AS100*AS101</f>
        <v>#REF!</v>
      </c>
      <c r="AT103" s="129" t="e">
        <f>AT100*#REF!</f>
        <v>#REF!</v>
      </c>
    </row>
    <row r="104" spans="1:46" ht="25.5" customHeight="1" thickBot="1" x14ac:dyDescent="0.4">
      <c r="A104" s="832" t="s">
        <v>430</v>
      </c>
      <c r="B104" s="832"/>
      <c r="C104" s="453"/>
      <c r="D104" s="328"/>
      <c r="E104" s="453"/>
      <c r="F104" s="328"/>
      <c r="G104" s="328"/>
      <c r="H104" s="328"/>
      <c r="I104" s="328"/>
      <c r="J104" s="328"/>
      <c r="K104" s="328"/>
      <c r="L104" s="328"/>
      <c r="M104" s="328"/>
      <c r="N104" s="443"/>
      <c r="O104" s="90"/>
      <c r="P104" s="90"/>
      <c r="Q104" s="642"/>
      <c r="R104" s="642"/>
      <c r="S104" s="642"/>
      <c r="T104" s="328"/>
      <c r="U104" s="230"/>
      <c r="V104" s="230"/>
      <c r="W104" s="230"/>
      <c r="X104" s="866"/>
      <c r="Y104" s="866"/>
      <c r="Z104" s="230"/>
      <c r="AA104" s="230"/>
      <c r="AB104" s="230"/>
      <c r="AD104" s="230"/>
      <c r="AE104" s="265"/>
      <c r="AF104" s="265"/>
      <c r="AG104" s="230"/>
      <c r="AH104" s="230"/>
      <c r="AI104" s="265"/>
      <c r="AJ104" s="265"/>
      <c r="AP104" s="126" t="s">
        <v>183</v>
      </c>
      <c r="AR104" s="125" t="e">
        <f>AR100/AT100</f>
        <v>#REF!</v>
      </c>
      <c r="AS104" s="125" t="e">
        <f>AS100/AT100</f>
        <v>#REF!</v>
      </c>
      <c r="AT104" s="154" t="e">
        <f>AR104+AS104</f>
        <v>#REF!</v>
      </c>
    </row>
    <row r="105" spans="1:46" s="15" customFormat="1" ht="15" customHeight="1" thickTop="1" thickBot="1" x14ac:dyDescent="0.3">
      <c r="A105" s="1226" t="s">
        <v>423</v>
      </c>
      <c r="B105" s="1226"/>
      <c r="C105" s="319"/>
      <c r="D105" s="320"/>
      <c r="E105" s="319"/>
      <c r="F105" s="320"/>
      <c r="G105" s="320"/>
      <c r="H105" s="438"/>
      <c r="I105" s="438"/>
      <c r="J105" s="320"/>
      <c r="K105" s="320"/>
      <c r="L105" s="321" t="s">
        <v>60</v>
      </c>
      <c r="M105" s="320"/>
      <c r="N105" s="1225" t="s">
        <v>272</v>
      </c>
      <c r="O105" s="190"/>
      <c r="P105" s="190"/>
      <c r="Q105" s="639"/>
      <c r="R105" s="639"/>
      <c r="S105" s="639"/>
      <c r="T105" s="328"/>
      <c r="U105" s="328"/>
      <c r="V105" s="328"/>
      <c r="W105" s="328"/>
      <c r="X105" s="328"/>
      <c r="Y105" s="328"/>
      <c r="Z105" s="328"/>
      <c r="AA105" s="328"/>
      <c r="AB105" s="328"/>
      <c r="AD105" s="328"/>
      <c r="AE105" s="512"/>
      <c r="AF105" s="512"/>
      <c r="AG105" s="328"/>
      <c r="AH105" s="328"/>
      <c r="AI105" s="512"/>
      <c r="AJ105" s="512"/>
    </row>
    <row r="106" spans="1:46" ht="16.5" customHeight="1" thickTop="1" x14ac:dyDescent="0.25">
      <c r="A106" s="1093" t="s">
        <v>129</v>
      </c>
      <c r="B106" s="1093"/>
      <c r="C106" s="438"/>
      <c r="D106" s="438"/>
      <c r="E106" s="438"/>
      <c r="F106" s="438"/>
      <c r="G106" s="438"/>
      <c r="H106" s="438"/>
      <c r="I106" s="438"/>
      <c r="J106" s="438"/>
      <c r="K106" s="439"/>
      <c r="L106" s="438"/>
      <c r="M106" s="438"/>
      <c r="N106" s="320"/>
      <c r="O106" s="23"/>
      <c r="P106" s="23"/>
      <c r="Q106" s="642"/>
      <c r="R106" s="642"/>
      <c r="S106" s="642"/>
      <c r="T106" s="328"/>
      <c r="U106" s="230"/>
      <c r="V106" s="230"/>
      <c r="W106" s="230"/>
      <c r="X106" s="866"/>
      <c r="Y106" s="866"/>
      <c r="Z106" s="230"/>
      <c r="AA106" s="230"/>
      <c r="AB106" s="230"/>
      <c r="AD106" s="230"/>
      <c r="AE106" s="265"/>
      <c r="AF106" s="265"/>
      <c r="AG106" s="230"/>
      <c r="AH106" s="230"/>
      <c r="AI106" s="265"/>
      <c r="AJ106" s="265"/>
    </row>
    <row r="107" spans="1:46" ht="16.5" customHeight="1" thickBot="1" x14ac:dyDescent="0.3">
      <c r="A107" s="1093" t="s">
        <v>196</v>
      </c>
      <c r="B107" s="1093"/>
      <c r="C107" s="438"/>
      <c r="D107" s="438"/>
      <c r="E107" s="438"/>
      <c r="F107" s="438"/>
      <c r="G107" s="438"/>
      <c r="H107" s="438"/>
      <c r="I107" s="438"/>
      <c r="J107" s="438"/>
      <c r="K107" s="439"/>
      <c r="L107" s="438"/>
      <c r="M107" s="438"/>
      <c r="N107" s="320"/>
      <c r="O107" s="23"/>
      <c r="P107" s="23"/>
      <c r="Q107" s="640"/>
      <c r="R107" s="640"/>
      <c r="S107" s="640"/>
      <c r="T107" s="328"/>
      <c r="U107" s="326"/>
      <c r="V107" s="326"/>
      <c r="W107" s="326"/>
      <c r="X107" s="326"/>
      <c r="Y107" s="326"/>
      <c r="Z107" s="326"/>
      <c r="AA107" s="326"/>
      <c r="AB107" s="326"/>
      <c r="AC107" s="13"/>
      <c r="AD107" s="326"/>
      <c r="AE107" s="510"/>
      <c r="AF107" s="510"/>
      <c r="AG107" s="326"/>
      <c r="AH107" s="230"/>
      <c r="AI107" s="265"/>
      <c r="AJ107" s="265"/>
    </row>
    <row r="108" spans="1:46" ht="16.2" hidden="1" customHeight="1" x14ac:dyDescent="0.25">
      <c r="A108" s="162"/>
      <c r="B108" s="162"/>
      <c r="C108" s="162"/>
      <c r="D108" s="162"/>
      <c r="E108" s="162"/>
      <c r="F108" s="162"/>
      <c r="G108" s="162"/>
      <c r="H108" s="162"/>
      <c r="I108" s="81"/>
      <c r="J108" s="162"/>
      <c r="K108" s="163"/>
      <c r="L108" s="81" t="s">
        <v>194</v>
      </c>
      <c r="M108" s="76"/>
      <c r="N108" s="71"/>
      <c r="O108" s="23"/>
      <c r="P108" s="23"/>
      <c r="Q108" s="640"/>
      <c r="R108" s="640"/>
      <c r="S108" s="640"/>
      <c r="T108" s="328"/>
      <c r="U108" s="326"/>
      <c r="V108" s="326"/>
      <c r="W108" s="326"/>
      <c r="X108" s="326"/>
      <c r="Y108" s="326"/>
      <c r="Z108" s="326"/>
      <c r="AA108" s="326"/>
      <c r="AB108" s="326"/>
      <c r="AC108" s="13"/>
      <c r="AD108" s="326"/>
      <c r="AE108" s="510"/>
      <c r="AF108" s="510"/>
      <c r="AG108" s="326"/>
      <c r="AH108" s="230"/>
      <c r="AI108" s="265"/>
      <c r="AJ108" s="265"/>
    </row>
    <row r="109" spans="1:46" ht="16.5" hidden="1" customHeight="1" x14ac:dyDescent="0.25">
      <c r="A109" s="162"/>
      <c r="B109" s="162"/>
      <c r="C109" s="162"/>
      <c r="D109" s="162"/>
      <c r="E109" s="162"/>
      <c r="F109" s="162"/>
      <c r="G109" s="162"/>
      <c r="H109" s="162"/>
      <c r="I109" s="164"/>
      <c r="J109" s="162"/>
      <c r="K109" s="163"/>
      <c r="L109" s="164"/>
      <c r="M109" s="76"/>
      <c r="N109" s="71"/>
      <c r="O109" s="23"/>
      <c r="P109" s="23"/>
      <c r="Q109" s="640"/>
      <c r="R109" s="640"/>
      <c r="S109" s="640"/>
      <c r="T109" s="328"/>
      <c r="U109" s="326"/>
      <c r="V109" s="326"/>
      <c r="W109" s="326"/>
      <c r="X109" s="326"/>
      <c r="Y109" s="326"/>
      <c r="Z109" s="326"/>
      <c r="AA109" s="326"/>
      <c r="AB109" s="326"/>
      <c r="AC109" s="13"/>
      <c r="AD109" s="326"/>
      <c r="AE109" s="510"/>
      <c r="AF109" s="510"/>
      <c r="AG109" s="326"/>
      <c r="AH109" s="230"/>
      <c r="AI109" s="265"/>
      <c r="AJ109" s="265"/>
    </row>
    <row r="110" spans="1:46" ht="16.5" hidden="1" customHeight="1" x14ac:dyDescent="0.25">
      <c r="A110" s="162"/>
      <c r="B110" s="162"/>
      <c r="C110" s="162"/>
      <c r="D110" s="162"/>
      <c r="E110" s="162"/>
      <c r="F110" s="162"/>
      <c r="G110" s="162"/>
      <c r="H110" s="162"/>
      <c r="I110" s="164"/>
      <c r="J110" s="162"/>
      <c r="K110" s="163"/>
      <c r="L110" s="164">
        <v>75000</v>
      </c>
      <c r="M110" s="76"/>
      <c r="N110" s="71"/>
      <c r="O110" s="23"/>
      <c r="P110" s="23"/>
      <c r="Q110" s="640"/>
      <c r="R110" s="640"/>
      <c r="S110" s="640"/>
      <c r="T110" s="328"/>
      <c r="U110" s="326"/>
      <c r="V110" s="326"/>
      <c r="W110" s="326"/>
      <c r="X110" s="326"/>
      <c r="Y110" s="326"/>
      <c r="Z110" s="326"/>
      <c r="AA110" s="326"/>
      <c r="AB110" s="326"/>
      <c r="AC110" s="13"/>
      <c r="AD110" s="326"/>
      <c r="AE110" s="510"/>
      <c r="AF110" s="510"/>
      <c r="AG110" s="326"/>
      <c r="AH110" s="230"/>
      <c r="AI110" s="265"/>
      <c r="AJ110" s="265"/>
    </row>
    <row r="111" spans="1:46" ht="16.5" hidden="1" customHeight="1" x14ac:dyDescent="0.25">
      <c r="A111" s="162"/>
      <c r="B111" s="162"/>
      <c r="C111" s="162"/>
      <c r="D111" s="162"/>
      <c r="E111" s="162"/>
      <c r="F111" s="162"/>
      <c r="G111" s="162"/>
      <c r="H111" s="162"/>
      <c r="I111" s="164"/>
      <c r="J111" s="162"/>
      <c r="K111" s="163"/>
      <c r="L111" s="164">
        <v>90000</v>
      </c>
      <c r="M111" s="76"/>
      <c r="N111" s="71"/>
      <c r="O111" s="23"/>
      <c r="P111" s="23"/>
      <c r="Q111" s="640"/>
      <c r="R111" s="640"/>
      <c r="S111" s="640"/>
      <c r="T111" s="328"/>
      <c r="U111" s="326"/>
      <c r="V111" s="326"/>
      <c r="W111" s="326"/>
      <c r="X111" s="326"/>
      <c r="Y111" s="326"/>
      <c r="Z111" s="326"/>
      <c r="AA111" s="326"/>
      <c r="AB111" s="326"/>
      <c r="AC111" s="13"/>
      <c r="AD111" s="326"/>
      <c r="AE111" s="510"/>
      <c r="AF111" s="510"/>
      <c r="AG111" s="326"/>
      <c r="AH111" s="230"/>
      <c r="AI111" s="265"/>
      <c r="AJ111" s="265"/>
    </row>
    <row r="112" spans="1:46" ht="16.5" hidden="1" customHeight="1" x14ac:dyDescent="0.25">
      <c r="A112" s="162"/>
      <c r="B112" s="162"/>
      <c r="C112" s="162"/>
      <c r="D112" s="162"/>
      <c r="E112" s="162"/>
      <c r="F112" s="162"/>
      <c r="G112" s="162"/>
      <c r="H112" s="162"/>
      <c r="I112" s="164"/>
      <c r="J112" s="162"/>
      <c r="K112" s="163"/>
      <c r="L112" s="164">
        <v>95000</v>
      </c>
      <c r="M112" s="76"/>
      <c r="N112" s="71"/>
      <c r="O112" s="23"/>
      <c r="P112" s="23"/>
      <c r="Q112" s="640"/>
      <c r="R112" s="640"/>
      <c r="S112" s="640"/>
      <c r="T112" s="328"/>
      <c r="U112" s="326"/>
      <c r="V112" s="326"/>
      <c r="W112" s="326"/>
      <c r="X112" s="326"/>
      <c r="Y112" s="326"/>
      <c r="Z112" s="326"/>
      <c r="AA112" s="326"/>
      <c r="AB112" s="326"/>
      <c r="AC112" s="13"/>
      <c r="AD112" s="326"/>
      <c r="AE112" s="510"/>
      <c r="AF112" s="510"/>
      <c r="AG112" s="326"/>
      <c r="AH112" s="230"/>
      <c r="AI112" s="265"/>
      <c r="AJ112" s="265"/>
    </row>
    <row r="113" spans="1:36" ht="16.5" hidden="1" customHeight="1" x14ac:dyDescent="0.25">
      <c r="A113" s="162"/>
      <c r="B113" s="162"/>
      <c r="C113" s="162"/>
      <c r="D113" s="162"/>
      <c r="E113" s="162"/>
      <c r="F113" s="162"/>
      <c r="G113" s="162"/>
      <c r="H113" s="162"/>
      <c r="I113" s="164"/>
      <c r="J113" s="162"/>
      <c r="K113" s="163"/>
      <c r="L113" s="164">
        <v>100000</v>
      </c>
      <c r="M113" s="76"/>
      <c r="N113" s="71"/>
      <c r="O113" s="23"/>
      <c r="P113" s="23"/>
      <c r="Q113" s="640"/>
      <c r="R113" s="640"/>
      <c r="S113" s="640"/>
      <c r="T113" s="328"/>
      <c r="U113" s="326"/>
      <c r="V113" s="326"/>
      <c r="W113" s="326"/>
      <c r="X113" s="326"/>
      <c r="Y113" s="326"/>
      <c r="Z113" s="326"/>
      <c r="AA113" s="326"/>
      <c r="AB113" s="326"/>
      <c r="AC113" s="13"/>
      <c r="AD113" s="326"/>
      <c r="AE113" s="510"/>
      <c r="AF113" s="510"/>
      <c r="AG113" s="326"/>
      <c r="AH113" s="230"/>
      <c r="AI113" s="265"/>
      <c r="AJ113" s="265"/>
    </row>
    <row r="114" spans="1:36" s="867" customFormat="1" ht="16.5" hidden="1" customHeight="1" x14ac:dyDescent="0.25">
      <c r="A114" s="162"/>
      <c r="B114" s="162"/>
      <c r="C114" s="162"/>
      <c r="D114" s="162"/>
      <c r="E114" s="162"/>
      <c r="F114" s="162"/>
      <c r="G114" s="162"/>
      <c r="H114" s="162"/>
      <c r="I114" s="164"/>
      <c r="J114" s="162"/>
      <c r="K114" s="163"/>
      <c r="L114" s="164">
        <v>185100</v>
      </c>
      <c r="M114" s="880"/>
      <c r="N114" s="71"/>
      <c r="O114" s="23"/>
      <c r="P114" s="23"/>
      <c r="Q114" s="640"/>
      <c r="R114" s="640"/>
      <c r="S114" s="640"/>
      <c r="T114" s="328"/>
      <c r="U114" s="326"/>
      <c r="V114" s="326"/>
      <c r="W114" s="326"/>
      <c r="X114" s="326"/>
      <c r="Y114" s="326"/>
      <c r="Z114" s="326"/>
      <c r="AA114" s="326"/>
      <c r="AB114" s="326"/>
      <c r="AC114" s="13"/>
      <c r="AD114" s="326"/>
      <c r="AE114" s="510"/>
      <c r="AF114" s="510"/>
      <c r="AG114" s="326"/>
      <c r="AH114" s="866"/>
      <c r="AI114" s="868"/>
      <c r="AJ114" s="868"/>
    </row>
    <row r="115" spans="1:36" s="867" customFormat="1" ht="16.5" hidden="1" customHeight="1" x14ac:dyDescent="0.25">
      <c r="A115" s="162"/>
      <c r="B115" s="162"/>
      <c r="C115" s="162"/>
      <c r="D115" s="162"/>
      <c r="E115" s="162"/>
      <c r="F115" s="162"/>
      <c r="G115" s="162"/>
      <c r="H115" s="162"/>
      <c r="I115" s="164"/>
      <c r="J115" s="162"/>
      <c r="K115" s="163"/>
      <c r="L115" s="164">
        <v>187000</v>
      </c>
      <c r="M115" s="880"/>
      <c r="N115" s="71"/>
      <c r="O115" s="23"/>
      <c r="P115" s="23"/>
      <c r="Q115" s="640"/>
      <c r="R115" s="640"/>
      <c r="S115" s="640"/>
      <c r="T115" s="328"/>
      <c r="U115" s="326"/>
      <c r="V115" s="326"/>
      <c r="W115" s="326"/>
      <c r="X115" s="326"/>
      <c r="Y115" s="326"/>
      <c r="Z115" s="326"/>
      <c r="AA115" s="326"/>
      <c r="AB115" s="326"/>
      <c r="AC115" s="13"/>
      <c r="AD115" s="326"/>
      <c r="AE115" s="510"/>
      <c r="AF115" s="510"/>
      <c r="AG115" s="326"/>
      <c r="AH115" s="866"/>
      <c r="AI115" s="868"/>
      <c r="AJ115" s="868"/>
    </row>
    <row r="116" spans="1:36" s="867" customFormat="1" ht="16.5" hidden="1" customHeight="1" x14ac:dyDescent="0.25">
      <c r="A116" s="162"/>
      <c r="B116" s="162"/>
      <c r="C116" s="162"/>
      <c r="D116" s="162"/>
      <c r="E116" s="162"/>
      <c r="F116" s="162"/>
      <c r="G116" s="162"/>
      <c r="H116" s="162"/>
      <c r="I116" s="164"/>
      <c r="J116" s="162"/>
      <c r="K116" s="163"/>
      <c r="L116" s="164">
        <v>189600</v>
      </c>
      <c r="M116" s="880"/>
      <c r="N116" s="71"/>
      <c r="O116" s="23"/>
      <c r="P116" s="23"/>
      <c r="Q116" s="640"/>
      <c r="R116" s="640"/>
      <c r="S116" s="640"/>
      <c r="T116" s="328"/>
      <c r="U116" s="326"/>
      <c r="V116" s="326"/>
      <c r="W116" s="326"/>
      <c r="X116" s="326"/>
      <c r="Y116" s="326"/>
      <c r="Z116" s="326"/>
      <c r="AA116" s="326"/>
      <c r="AB116" s="326"/>
      <c r="AC116" s="13"/>
      <c r="AD116" s="326"/>
      <c r="AE116" s="510"/>
      <c r="AF116" s="510"/>
      <c r="AG116" s="326"/>
      <c r="AH116" s="866"/>
      <c r="AI116" s="868"/>
      <c r="AJ116" s="868"/>
    </row>
    <row r="117" spans="1:36" s="867" customFormat="1" ht="16.5" hidden="1" customHeight="1" x14ac:dyDescent="0.25">
      <c r="A117" s="162"/>
      <c r="B117" s="162"/>
      <c r="C117" s="162"/>
      <c r="D117" s="162"/>
      <c r="E117" s="162"/>
      <c r="F117" s="162"/>
      <c r="G117" s="162"/>
      <c r="H117" s="162"/>
      <c r="I117" s="164"/>
      <c r="J117" s="162"/>
      <c r="K117" s="163"/>
      <c r="L117" s="164">
        <v>192300</v>
      </c>
      <c r="M117" s="880"/>
      <c r="N117" s="71"/>
      <c r="O117" s="23"/>
      <c r="P117" s="23"/>
      <c r="Q117" s="640"/>
      <c r="R117" s="640"/>
      <c r="S117" s="640"/>
      <c r="T117" s="328"/>
      <c r="U117" s="326"/>
      <c r="V117" s="326"/>
      <c r="W117" s="326"/>
      <c r="X117" s="326"/>
      <c r="Y117" s="326"/>
      <c r="Z117" s="326"/>
      <c r="AA117" s="326"/>
      <c r="AB117" s="326"/>
      <c r="AC117" s="13"/>
      <c r="AD117" s="326"/>
      <c r="AE117" s="510"/>
      <c r="AF117" s="510"/>
      <c r="AG117" s="326"/>
      <c r="AH117" s="866"/>
      <c r="AI117" s="868"/>
      <c r="AJ117" s="868"/>
    </row>
    <row r="118" spans="1:36" s="867" customFormat="1" ht="16.5" hidden="1" customHeight="1" x14ac:dyDescent="0.25">
      <c r="A118" s="162"/>
      <c r="B118" s="162"/>
      <c r="C118" s="162"/>
      <c r="D118" s="162"/>
      <c r="E118" s="162"/>
      <c r="F118" s="162"/>
      <c r="G118" s="162"/>
      <c r="H118" s="162"/>
      <c r="I118" s="164"/>
      <c r="J118" s="162"/>
      <c r="K118" s="163"/>
      <c r="L118" s="164">
        <v>197300</v>
      </c>
      <c r="M118" s="880"/>
      <c r="N118" s="71"/>
      <c r="O118" s="23"/>
      <c r="P118" s="23"/>
      <c r="Q118" s="640"/>
      <c r="R118" s="640"/>
      <c r="S118" s="640"/>
      <c r="T118" s="328"/>
      <c r="U118" s="326"/>
      <c r="V118" s="326"/>
      <c r="W118" s="326"/>
      <c r="X118" s="326"/>
      <c r="Y118" s="326"/>
      <c r="Z118" s="326"/>
      <c r="AA118" s="326"/>
      <c r="AB118" s="326"/>
      <c r="AC118" s="13"/>
      <c r="AD118" s="326"/>
      <c r="AE118" s="510"/>
      <c r="AF118" s="510"/>
      <c r="AG118" s="326"/>
      <c r="AH118" s="866"/>
      <c r="AI118" s="868"/>
      <c r="AJ118" s="868"/>
    </row>
    <row r="119" spans="1:36" s="867" customFormat="1" ht="16.5" hidden="1" customHeight="1" x14ac:dyDescent="0.25">
      <c r="A119" s="162"/>
      <c r="B119" s="162"/>
      <c r="C119" s="162"/>
      <c r="D119" s="162"/>
      <c r="E119" s="162"/>
      <c r="F119" s="162"/>
      <c r="G119" s="162"/>
      <c r="H119" s="162"/>
      <c r="I119" s="164"/>
      <c r="J119" s="162"/>
      <c r="K119" s="163"/>
      <c r="L119" s="164">
        <v>199300</v>
      </c>
      <c r="M119" s="880"/>
      <c r="N119" s="71"/>
      <c r="O119" s="23"/>
      <c r="P119" s="23"/>
      <c r="Q119" s="640"/>
      <c r="R119" s="640"/>
      <c r="S119" s="640"/>
      <c r="T119" s="328"/>
      <c r="U119" s="326"/>
      <c r="V119" s="326"/>
      <c r="W119" s="326"/>
      <c r="X119" s="326"/>
      <c r="Y119" s="326"/>
      <c r="Z119" s="326"/>
      <c r="AA119" s="326"/>
      <c r="AB119" s="326"/>
      <c r="AC119" s="13"/>
      <c r="AD119" s="326"/>
      <c r="AE119" s="510"/>
      <c r="AF119" s="510"/>
      <c r="AG119" s="326"/>
      <c r="AH119" s="866"/>
      <c r="AI119" s="868"/>
      <c r="AJ119" s="868"/>
    </row>
    <row r="120" spans="1:36" s="867" customFormat="1" ht="16.5" hidden="1" customHeight="1" x14ac:dyDescent="0.25">
      <c r="A120" s="162"/>
      <c r="B120" s="162"/>
      <c r="C120" s="162"/>
      <c r="D120" s="162"/>
      <c r="E120" s="162"/>
      <c r="F120" s="162"/>
      <c r="G120" s="162"/>
      <c r="H120" s="162"/>
      <c r="I120" s="164"/>
      <c r="J120" s="162"/>
      <c r="K120" s="163"/>
      <c r="L120" s="164">
        <v>203700</v>
      </c>
      <c r="M120" s="880"/>
      <c r="N120" s="71"/>
      <c r="O120" s="23"/>
      <c r="P120" s="23"/>
      <c r="Q120" s="640"/>
      <c r="R120" s="640"/>
      <c r="S120" s="640"/>
      <c r="T120" s="328"/>
      <c r="U120" s="326"/>
      <c r="V120" s="326"/>
      <c r="W120" s="326"/>
      <c r="X120" s="326"/>
      <c r="Y120" s="326"/>
      <c r="Z120" s="326"/>
      <c r="AA120" s="326"/>
      <c r="AB120" s="326"/>
      <c r="AC120" s="13"/>
      <c r="AD120" s="326"/>
      <c r="AE120" s="510"/>
      <c r="AF120" s="510"/>
      <c r="AG120" s="326"/>
      <c r="AH120" s="866"/>
      <c r="AI120" s="868"/>
      <c r="AJ120" s="868"/>
    </row>
    <row r="121" spans="1:36" s="867" customFormat="1" ht="16.5" hidden="1" customHeight="1" thickBot="1" x14ac:dyDescent="0.3">
      <c r="A121" s="162"/>
      <c r="B121" s="162"/>
      <c r="C121" s="162"/>
      <c r="D121" s="162"/>
      <c r="E121" s="162"/>
      <c r="F121" s="162"/>
      <c r="G121" s="162"/>
      <c r="H121" s="162"/>
      <c r="I121" s="164"/>
      <c r="J121" s="162"/>
      <c r="K121" s="163"/>
      <c r="L121" s="164">
        <v>212100</v>
      </c>
      <c r="M121" s="880"/>
      <c r="N121" s="71"/>
      <c r="O121" s="23"/>
      <c r="P121" s="23"/>
      <c r="Q121" s="640"/>
      <c r="R121" s="640"/>
      <c r="S121" s="640"/>
      <c r="T121" s="328"/>
      <c r="U121" s="326"/>
      <c r="V121" s="326"/>
      <c r="W121" s="326"/>
      <c r="X121" s="326"/>
      <c r="Y121" s="326"/>
      <c r="Z121" s="326"/>
      <c r="AA121" s="326"/>
      <c r="AB121" s="326"/>
      <c r="AC121" s="13"/>
      <c r="AD121" s="326"/>
      <c r="AE121" s="510"/>
      <c r="AF121" s="510"/>
      <c r="AG121" s="326"/>
      <c r="AH121" s="866"/>
      <c r="AI121" s="868"/>
      <c r="AJ121" s="868"/>
    </row>
    <row r="122" spans="1:36" s="15" customFormat="1" ht="15" customHeight="1" thickTop="1" thickBot="1" x14ac:dyDescent="0.3">
      <c r="A122" s="1093" t="s">
        <v>197</v>
      </c>
      <c r="B122" s="1093"/>
      <c r="C122" s="438"/>
      <c r="D122" s="438"/>
      <c r="E122" s="438"/>
      <c r="F122" s="438"/>
      <c r="G122" s="438"/>
      <c r="H122" s="438"/>
      <c r="I122" s="438"/>
      <c r="J122" s="438"/>
      <c r="K122" s="439"/>
      <c r="L122" s="455"/>
      <c r="M122" s="438"/>
      <c r="N122" s="320"/>
      <c r="O122" s="23"/>
      <c r="P122" s="23"/>
      <c r="Q122" s="640"/>
      <c r="R122" s="640"/>
      <c r="S122" s="640"/>
      <c r="T122" s="328"/>
      <c r="U122" s="326"/>
      <c r="V122" s="326"/>
      <c r="W122" s="326"/>
      <c r="X122" s="326"/>
      <c r="Y122" s="326"/>
      <c r="Z122" s="326"/>
      <c r="AA122" s="326"/>
      <c r="AB122" s="326"/>
      <c r="AC122" s="13"/>
      <c r="AD122" s="326"/>
      <c r="AE122" s="510"/>
      <c r="AF122" s="510"/>
      <c r="AG122" s="326"/>
      <c r="AH122" s="328"/>
      <c r="AI122" s="512"/>
      <c r="AJ122" s="512"/>
    </row>
    <row r="123" spans="1:36" s="15" customFormat="1" ht="15" customHeight="1" thickTop="1" thickBot="1" x14ac:dyDescent="0.3">
      <c r="A123" s="443"/>
      <c r="B123" s="443"/>
      <c r="C123" s="453"/>
      <c r="D123" s="328"/>
      <c r="E123" s="453"/>
      <c r="F123" s="328"/>
      <c r="G123" s="328"/>
      <c r="H123" s="328"/>
      <c r="I123" s="328"/>
      <c r="J123" s="328"/>
      <c r="K123" s="328"/>
      <c r="L123" s="328"/>
      <c r="M123" s="328"/>
      <c r="N123" s="328"/>
      <c r="O123" s="23"/>
      <c r="P123" s="23"/>
      <c r="Q123" s="640"/>
      <c r="R123" s="640"/>
      <c r="S123" s="640"/>
      <c r="T123" s="328"/>
      <c r="U123" s="326"/>
      <c r="V123" s="326"/>
      <c r="W123" s="326"/>
      <c r="X123" s="326"/>
      <c r="Y123" s="326"/>
      <c r="Z123" s="326"/>
      <c r="AA123" s="326"/>
      <c r="AB123" s="326"/>
      <c r="AC123" s="13"/>
      <c r="AD123" s="326"/>
      <c r="AE123" s="510"/>
      <c r="AF123" s="510"/>
      <c r="AG123" s="326"/>
      <c r="AH123" s="328"/>
      <c r="AI123" s="512"/>
      <c r="AJ123" s="512"/>
    </row>
    <row r="124" spans="1:36" ht="15" thickTop="1" thickBot="1" x14ac:dyDescent="0.3">
      <c r="A124" s="1226" t="s">
        <v>424</v>
      </c>
      <c r="B124" s="1226"/>
      <c r="C124" s="319"/>
      <c r="D124" s="320"/>
      <c r="E124" s="319"/>
      <c r="F124" s="320"/>
      <c r="G124" s="320"/>
      <c r="H124" s="321" t="s">
        <v>60</v>
      </c>
      <c r="I124" s="320"/>
      <c r="J124" s="320"/>
      <c r="K124" s="320"/>
      <c r="L124" s="320"/>
      <c r="M124" s="320"/>
      <c r="N124" s="456" t="s">
        <v>104</v>
      </c>
      <c r="O124" s="193"/>
      <c r="P124" s="193"/>
      <c r="Q124" s="640"/>
      <c r="R124" s="640"/>
      <c r="S124" s="640"/>
      <c r="T124" s="328"/>
      <c r="U124" s="326"/>
      <c r="V124" s="326"/>
      <c r="W124" s="326"/>
      <c r="X124" s="326"/>
      <c r="Y124" s="326"/>
      <c r="Z124" s="326"/>
      <c r="AA124" s="326"/>
      <c r="AB124" s="326"/>
      <c r="AC124" s="13"/>
      <c r="AD124" s="326"/>
      <c r="AE124" s="510"/>
      <c r="AF124" s="510"/>
      <c r="AG124" s="326"/>
      <c r="AH124" s="230"/>
      <c r="AI124" s="265"/>
      <c r="AJ124" s="265"/>
    </row>
    <row r="125" spans="1:36" ht="20.25" customHeight="1" thickTop="1" x14ac:dyDescent="0.25">
      <c r="A125" s="1226" t="s">
        <v>126</v>
      </c>
      <c r="B125" s="1226"/>
      <c r="C125" s="319"/>
      <c r="D125" s="320"/>
      <c r="E125" s="319"/>
      <c r="F125" s="320"/>
      <c r="G125" s="320"/>
      <c r="H125" s="320"/>
      <c r="I125" s="320"/>
      <c r="J125" s="320"/>
      <c r="K125" s="320"/>
      <c r="L125" s="320"/>
      <c r="M125" s="320"/>
      <c r="N125" s="438"/>
      <c r="O125" s="90"/>
      <c r="P125" s="90"/>
      <c r="Q125" s="642"/>
      <c r="R125" s="640"/>
      <c r="S125" s="640"/>
      <c r="T125" s="328"/>
      <c r="U125" s="326"/>
      <c r="V125" s="326"/>
      <c r="W125" s="326"/>
      <c r="X125" s="326"/>
      <c r="Y125" s="326"/>
      <c r="Z125" s="326"/>
      <c r="AA125" s="326"/>
      <c r="AB125" s="326"/>
      <c r="AC125" s="13"/>
      <c r="AD125" s="326"/>
      <c r="AE125" s="510"/>
      <c r="AF125" s="510"/>
      <c r="AG125" s="326"/>
      <c r="AH125" s="230"/>
      <c r="AI125" s="265"/>
      <c r="AJ125" s="265"/>
    </row>
    <row r="126" spans="1:36" x14ac:dyDescent="0.25">
      <c r="A126" s="1226" t="s">
        <v>130</v>
      </c>
      <c r="B126" s="1226"/>
      <c r="C126" s="320"/>
      <c r="D126" s="320"/>
      <c r="E126" s="320"/>
      <c r="F126" s="320"/>
      <c r="G126" s="320"/>
      <c r="H126" s="320"/>
      <c r="I126" s="320"/>
      <c r="J126" s="320"/>
      <c r="K126" s="320"/>
      <c r="L126" s="320"/>
      <c r="M126" s="320"/>
      <c r="N126" s="320"/>
      <c r="O126" s="23"/>
      <c r="P126" s="23"/>
      <c r="Q126" s="642"/>
      <c r="R126" s="642"/>
      <c r="S126" s="642"/>
      <c r="T126" s="328"/>
      <c r="U126" s="230"/>
      <c r="V126" s="230"/>
      <c r="W126" s="230"/>
      <c r="X126" s="866"/>
      <c r="Y126" s="866"/>
      <c r="Z126" s="230"/>
      <c r="AA126" s="230"/>
      <c r="AB126" s="230"/>
      <c r="AD126" s="230"/>
      <c r="AE126" s="265"/>
      <c r="AF126" s="265"/>
      <c r="AG126" s="230"/>
      <c r="AH126" s="230"/>
      <c r="AI126" s="265"/>
      <c r="AJ126" s="265"/>
    </row>
    <row r="127" spans="1:36" ht="14.4" thickBot="1" x14ac:dyDescent="0.3">
      <c r="A127" s="1226" t="s">
        <v>166</v>
      </c>
      <c r="B127" s="1226"/>
      <c r="C127" s="320"/>
      <c r="D127" s="320"/>
      <c r="E127" s="320"/>
      <c r="F127" s="320"/>
      <c r="G127" s="320"/>
      <c r="H127" s="320"/>
      <c r="I127" s="320"/>
      <c r="J127" s="320"/>
      <c r="K127" s="320"/>
      <c r="L127" s="320"/>
      <c r="M127" s="320"/>
      <c r="N127" s="320"/>
      <c r="O127" s="23"/>
      <c r="P127" s="23"/>
      <c r="Q127" s="642"/>
      <c r="R127" s="642"/>
      <c r="S127" s="642"/>
      <c r="T127" s="328"/>
      <c r="U127" s="230"/>
      <c r="V127" s="230"/>
      <c r="W127" s="230"/>
      <c r="X127" s="866"/>
      <c r="Y127" s="866"/>
      <c r="Z127" s="230"/>
      <c r="AA127" s="230"/>
      <c r="AB127" s="230"/>
      <c r="AD127" s="230"/>
      <c r="AE127" s="265"/>
      <c r="AF127" s="265"/>
      <c r="AG127" s="230"/>
      <c r="AH127" s="230"/>
      <c r="AI127" s="265"/>
      <c r="AJ127" s="265"/>
    </row>
    <row r="128" spans="1:36" ht="15" thickTop="1" thickBot="1" x14ac:dyDescent="0.3">
      <c r="A128" s="1226" t="s">
        <v>580</v>
      </c>
      <c r="B128" s="1226"/>
      <c r="C128" s="320"/>
      <c r="D128" s="320"/>
      <c r="E128" s="320"/>
      <c r="F128" s="320"/>
      <c r="G128" s="320"/>
      <c r="H128" s="320"/>
      <c r="I128" s="320"/>
      <c r="J128" s="320"/>
      <c r="K128" s="320"/>
      <c r="L128" s="320"/>
      <c r="M128" s="320"/>
      <c r="N128" s="457"/>
      <c r="O128" s="194"/>
      <c r="P128" s="194"/>
      <c r="Q128" s="642"/>
      <c r="R128" s="642"/>
      <c r="S128" s="642"/>
      <c r="T128" s="328"/>
      <c r="U128" s="230"/>
      <c r="V128" s="230"/>
      <c r="W128" s="230"/>
      <c r="X128" s="866"/>
      <c r="Y128" s="866"/>
      <c r="Z128" s="230"/>
      <c r="AA128" s="230"/>
      <c r="AB128" s="230"/>
      <c r="AD128" s="230"/>
      <c r="AE128" s="265"/>
      <c r="AF128" s="265"/>
      <c r="AG128" s="230"/>
      <c r="AH128" s="230"/>
      <c r="AI128" s="265"/>
      <c r="AJ128" s="265"/>
    </row>
    <row r="129" spans="1:36" s="867" customFormat="1" ht="14.4" thickTop="1" x14ac:dyDescent="0.25">
      <c r="A129" s="1226" t="s">
        <v>579</v>
      </c>
      <c r="B129" s="1226"/>
      <c r="C129" s="320"/>
      <c r="D129" s="320"/>
      <c r="E129" s="320"/>
      <c r="F129" s="320"/>
      <c r="G129" s="320"/>
      <c r="H129" s="320"/>
      <c r="I129" s="320"/>
      <c r="J129" s="320"/>
      <c r="K129" s="320"/>
      <c r="L129" s="320"/>
      <c r="M129" s="320"/>
      <c r="N129" s="320"/>
      <c r="O129" s="194"/>
      <c r="P129" s="194"/>
      <c r="Q129" s="642"/>
      <c r="R129" s="642"/>
      <c r="S129" s="642"/>
      <c r="T129" s="328"/>
      <c r="U129" s="866"/>
      <c r="V129" s="866"/>
      <c r="W129" s="866"/>
      <c r="X129" s="866"/>
      <c r="Y129" s="866"/>
      <c r="Z129" s="866"/>
      <c r="AA129" s="866"/>
      <c r="AB129" s="866"/>
      <c r="AD129" s="866"/>
      <c r="AE129" s="868"/>
      <c r="AF129" s="868"/>
      <c r="AG129" s="866"/>
      <c r="AH129" s="866"/>
      <c r="AI129" s="868"/>
      <c r="AJ129" s="868"/>
    </row>
    <row r="130" spans="1:36" ht="26.1" customHeight="1" thickBot="1" x14ac:dyDescent="0.4">
      <c r="A130" s="1227" t="s">
        <v>429</v>
      </c>
      <c r="B130" s="1227"/>
      <c r="C130" s="627"/>
      <c r="D130" s="627"/>
      <c r="E130" s="627"/>
      <c r="F130" s="627"/>
      <c r="G130" s="627"/>
      <c r="H130" s="627"/>
      <c r="I130" s="627"/>
      <c r="J130" s="627"/>
      <c r="K130" s="627"/>
      <c r="L130" s="629"/>
      <c r="M130" s="629"/>
      <c r="N130" s="629"/>
      <c r="O130" s="189"/>
      <c r="P130" s="189"/>
      <c r="Q130" s="642"/>
      <c r="R130" s="642"/>
      <c r="S130" s="642"/>
      <c r="T130" s="328"/>
      <c r="U130" s="230"/>
      <c r="V130" s="230"/>
      <c r="W130" s="230"/>
      <c r="X130" s="866"/>
      <c r="Y130" s="866"/>
      <c r="Z130" s="230"/>
      <c r="AA130" s="230"/>
      <c r="AB130" s="230"/>
      <c r="AD130" s="230"/>
      <c r="AE130" s="265"/>
      <c r="AF130" s="265"/>
      <c r="AG130" s="230"/>
      <c r="AH130" s="230"/>
      <c r="AI130" s="265"/>
      <c r="AJ130" s="265"/>
    </row>
    <row r="131" spans="1:36" ht="15.6" thickTop="1" thickBot="1" x14ac:dyDescent="0.35">
      <c r="A131" s="1226" t="s">
        <v>425</v>
      </c>
      <c r="B131" s="1226"/>
      <c r="C131" s="319"/>
      <c r="D131" s="320"/>
      <c r="E131" s="319"/>
      <c r="F131" s="320"/>
      <c r="G131" s="320"/>
      <c r="H131" s="321" t="s">
        <v>60</v>
      </c>
      <c r="I131" s="320"/>
      <c r="J131" s="320"/>
      <c r="K131" s="458"/>
      <c r="L131" s="320"/>
      <c r="M131" s="320"/>
      <c r="N131" s="1094" t="s">
        <v>266</v>
      </c>
      <c r="O131" s="90"/>
      <c r="P131" s="90"/>
      <c r="Q131" s="642"/>
      <c r="R131" s="642"/>
      <c r="S131" s="642"/>
      <c r="T131" s="328"/>
      <c r="U131" s="230"/>
      <c r="V131" s="230"/>
      <c r="W131" s="230"/>
      <c r="X131" s="866"/>
      <c r="Y131" s="866"/>
      <c r="Z131" s="230"/>
      <c r="AA131" s="230"/>
      <c r="AB131" s="230"/>
      <c r="AD131" s="230"/>
      <c r="AE131" s="265"/>
      <c r="AF131" s="265"/>
      <c r="AG131" s="230"/>
      <c r="AH131" s="230"/>
      <c r="AI131" s="265"/>
      <c r="AJ131" s="265"/>
    </row>
    <row r="132" spans="1:36" ht="14.4" thickTop="1" x14ac:dyDescent="0.25">
      <c r="A132" s="1226" t="s">
        <v>127</v>
      </c>
      <c r="B132" s="1226"/>
      <c r="C132" s="319"/>
      <c r="D132" s="320"/>
      <c r="E132" s="319"/>
      <c r="F132" s="320"/>
      <c r="G132" s="320"/>
      <c r="H132" s="320"/>
      <c r="I132" s="320"/>
      <c r="J132" s="320"/>
      <c r="K132" s="320"/>
      <c r="L132" s="438"/>
      <c r="M132" s="320"/>
      <c r="N132" s="438"/>
      <c r="O132" s="90"/>
      <c r="P132" s="90"/>
      <c r="Q132" s="642"/>
      <c r="R132" s="642"/>
      <c r="S132" s="642"/>
      <c r="T132" s="328"/>
      <c r="U132" s="230"/>
      <c r="V132" s="230"/>
      <c r="W132" s="230"/>
      <c r="X132" s="866"/>
      <c r="Y132" s="866"/>
      <c r="Z132" s="230"/>
      <c r="AA132" s="230"/>
      <c r="AB132" s="230"/>
      <c r="AD132" s="230"/>
      <c r="AE132" s="230"/>
      <c r="AF132" s="230"/>
      <c r="AG132" s="230"/>
      <c r="AH132" s="230"/>
      <c r="AI132" s="230"/>
      <c r="AJ132" s="230"/>
    </row>
    <row r="133" spans="1:36" x14ac:dyDescent="0.25">
      <c r="A133" s="1226" t="s">
        <v>337</v>
      </c>
      <c r="B133" s="1226"/>
      <c r="C133" s="319"/>
      <c r="D133" s="320"/>
      <c r="E133" s="319"/>
      <c r="F133" s="320"/>
      <c r="G133" s="320"/>
      <c r="H133" s="320"/>
      <c r="I133" s="320"/>
      <c r="J133" s="320"/>
      <c r="K133" s="320"/>
      <c r="L133" s="438"/>
      <c r="M133" s="320"/>
      <c r="N133" s="438"/>
      <c r="O133" s="90"/>
      <c r="P133" s="90"/>
      <c r="Q133" s="642"/>
      <c r="R133" s="642"/>
      <c r="S133" s="642"/>
      <c r="T133" s="328"/>
      <c r="U133" s="230"/>
      <c r="V133" s="230"/>
      <c r="W133" s="230"/>
      <c r="X133" s="866"/>
      <c r="Y133" s="866"/>
      <c r="Z133" s="230"/>
      <c r="AA133" s="230"/>
      <c r="AB133" s="230"/>
      <c r="AD133" s="230"/>
      <c r="AE133" s="230"/>
      <c r="AF133" s="230"/>
      <c r="AG133" s="230"/>
      <c r="AH133" s="230"/>
      <c r="AI133" s="230"/>
      <c r="AJ133" s="230"/>
    </row>
    <row r="134" spans="1:36" x14ac:dyDescent="0.25">
      <c r="A134" s="1226" t="s">
        <v>338</v>
      </c>
      <c r="B134" s="1226"/>
      <c r="C134" s="319"/>
      <c r="D134" s="320"/>
      <c r="E134" s="319"/>
      <c r="F134" s="320"/>
      <c r="G134" s="320"/>
      <c r="H134" s="320"/>
      <c r="I134" s="320"/>
      <c r="J134" s="320"/>
      <c r="K134" s="320"/>
      <c r="L134" s="438"/>
      <c r="M134" s="320"/>
      <c r="N134" s="438"/>
      <c r="O134" s="90"/>
      <c r="P134" s="90"/>
      <c r="Q134" s="642"/>
      <c r="R134" s="642"/>
      <c r="S134" s="642"/>
      <c r="T134" s="328"/>
      <c r="U134" s="230"/>
      <c r="V134" s="230"/>
      <c r="W134" s="230"/>
      <c r="X134" s="866"/>
      <c r="Y134" s="866"/>
      <c r="Z134" s="230"/>
      <c r="AA134" s="230"/>
      <c r="AB134" s="230"/>
      <c r="AD134" s="230"/>
      <c r="AE134" s="230"/>
      <c r="AF134" s="230"/>
      <c r="AG134" s="230"/>
      <c r="AH134" s="230"/>
      <c r="AI134" s="230"/>
      <c r="AJ134" s="230"/>
    </row>
    <row r="135" spans="1:36" ht="14.4" thickBot="1" x14ac:dyDescent="0.3">
      <c r="A135" s="453"/>
      <c r="B135" s="453"/>
      <c r="C135" s="453"/>
      <c r="D135" s="328"/>
      <c r="E135" s="453"/>
      <c r="F135" s="328"/>
      <c r="G135" s="328"/>
      <c r="H135" s="328"/>
      <c r="I135" s="328"/>
      <c r="J135" s="328"/>
      <c r="K135" s="328"/>
      <c r="L135" s="328"/>
      <c r="M135" s="328"/>
      <c r="N135" s="443"/>
      <c r="O135" s="90"/>
      <c r="P135" s="90"/>
      <c r="Q135" s="642"/>
      <c r="R135" s="642"/>
      <c r="S135" s="642"/>
      <c r="T135" s="328"/>
      <c r="U135" s="230"/>
      <c r="V135" s="230"/>
      <c r="W135" s="230"/>
      <c r="X135" s="866"/>
      <c r="Y135" s="866"/>
      <c r="Z135" s="230"/>
      <c r="AA135" s="230"/>
      <c r="AB135" s="230"/>
      <c r="AD135" s="230"/>
      <c r="AE135" s="265"/>
      <c r="AF135" s="265"/>
      <c r="AG135" s="230"/>
      <c r="AH135" s="230"/>
      <c r="AI135" s="265"/>
      <c r="AJ135" s="265"/>
    </row>
    <row r="136" spans="1:36" ht="15.6" thickTop="1" thickBot="1" x14ac:dyDescent="0.35">
      <c r="A136" s="1226" t="s">
        <v>516</v>
      </c>
      <c r="B136" s="1226"/>
      <c r="C136" s="319"/>
      <c r="D136" s="320"/>
      <c r="E136" s="319"/>
      <c r="F136" s="458"/>
      <c r="G136" s="320"/>
      <c r="H136" s="321">
        <v>0</v>
      </c>
      <c r="I136" s="458"/>
      <c r="J136" s="458"/>
      <c r="K136" s="458"/>
      <c r="L136" s="320"/>
      <c r="M136" s="320"/>
      <c r="N136" s="1094" t="s">
        <v>266</v>
      </c>
      <c r="O136" s="90"/>
      <c r="P136" s="90"/>
      <c r="Q136" s="642"/>
      <c r="R136" s="642"/>
      <c r="S136" s="642"/>
      <c r="T136" s="328"/>
      <c r="U136" s="230"/>
      <c r="V136" s="230"/>
      <c r="W136" s="230"/>
      <c r="X136" s="866"/>
      <c r="Y136" s="866"/>
      <c r="Z136" s="230"/>
      <c r="AA136" s="230"/>
      <c r="AB136" s="230"/>
      <c r="AD136" s="230"/>
      <c r="AE136" s="265"/>
      <c r="AF136" s="265"/>
      <c r="AG136" s="230"/>
      <c r="AH136" s="230"/>
      <c r="AI136" s="265"/>
      <c r="AJ136" s="265"/>
    </row>
    <row r="137" spans="1:36" ht="14.4" hidden="1" thickTop="1" x14ac:dyDescent="0.25">
      <c r="A137" s="70"/>
      <c r="B137" s="70"/>
      <c r="C137" s="70"/>
      <c r="D137" s="70"/>
      <c r="E137" s="70"/>
      <c r="F137" s="71"/>
      <c r="G137" s="70"/>
      <c r="H137" s="71"/>
      <c r="I137" s="71"/>
      <c r="J137" s="71"/>
      <c r="K137" s="71"/>
      <c r="L137" s="71"/>
      <c r="M137" s="72" t="s">
        <v>70</v>
      </c>
      <c r="N137" s="73" t="s">
        <v>62</v>
      </c>
      <c r="O137" s="195"/>
      <c r="P137" s="195"/>
      <c r="Q137" s="642"/>
      <c r="R137" s="642"/>
      <c r="S137" s="642"/>
      <c r="T137" s="328"/>
      <c r="U137" s="230"/>
      <c r="V137" s="230"/>
      <c r="W137" s="230"/>
      <c r="X137" s="866"/>
      <c r="Y137" s="866"/>
      <c r="Z137" s="230"/>
      <c r="AA137" s="230"/>
      <c r="AB137" s="230"/>
      <c r="AD137" s="230"/>
      <c r="AE137" s="265"/>
      <c r="AF137" s="265"/>
      <c r="AG137" s="230"/>
      <c r="AH137" s="230"/>
      <c r="AI137" s="265"/>
      <c r="AJ137" s="265"/>
    </row>
    <row r="138" spans="1:36" ht="14.4" hidden="1" thickTop="1" x14ac:dyDescent="0.25">
      <c r="A138" s="70"/>
      <c r="B138" s="70"/>
      <c r="C138" s="70"/>
      <c r="D138" s="70"/>
      <c r="E138" s="70"/>
      <c r="F138" s="71"/>
      <c r="G138" s="70"/>
      <c r="H138" s="71"/>
      <c r="I138" s="71"/>
      <c r="J138" s="71"/>
      <c r="K138" s="71"/>
      <c r="L138" s="71"/>
      <c r="M138" s="74">
        <v>0</v>
      </c>
      <c r="N138" s="75">
        <f>IF($H$136=0, 0,0)</f>
        <v>0</v>
      </c>
      <c r="O138" s="196"/>
      <c r="P138" s="196"/>
      <c r="Q138" s="642"/>
      <c r="R138" s="642"/>
      <c r="S138" s="642"/>
      <c r="T138" s="328"/>
      <c r="U138" s="230"/>
      <c r="V138" s="230"/>
      <c r="W138" s="230"/>
      <c r="X138" s="866"/>
      <c r="Y138" s="866"/>
      <c r="Z138" s="230"/>
      <c r="AA138" s="230"/>
      <c r="AB138" s="230"/>
      <c r="AD138" s="230"/>
      <c r="AE138" s="265"/>
      <c r="AF138" s="265"/>
      <c r="AG138" s="230"/>
      <c r="AH138" s="230"/>
      <c r="AI138" s="265"/>
      <c r="AJ138" s="265"/>
    </row>
    <row r="139" spans="1:36" ht="14.4" hidden="1" thickTop="1" x14ac:dyDescent="0.25">
      <c r="A139" s="70"/>
      <c r="B139" s="70"/>
      <c r="C139" s="70"/>
      <c r="D139" s="70"/>
      <c r="E139" s="70"/>
      <c r="F139" s="71"/>
      <c r="G139" s="70"/>
      <c r="H139" s="71"/>
      <c r="I139" s="71"/>
      <c r="J139" s="71"/>
      <c r="K139" s="71"/>
      <c r="L139" s="71"/>
      <c r="M139" s="74">
        <v>1</v>
      </c>
      <c r="N139" s="75">
        <f>IF($H$136=1, 25000,0)</f>
        <v>0</v>
      </c>
      <c r="O139" s="196"/>
      <c r="P139" s="196"/>
      <c r="Q139" s="642"/>
      <c r="R139" s="642"/>
      <c r="S139" s="642"/>
      <c r="T139" s="328"/>
      <c r="U139" s="230"/>
      <c r="V139" s="230"/>
      <c r="W139" s="230"/>
      <c r="X139" s="866"/>
      <c r="Y139" s="866"/>
      <c r="Z139" s="230"/>
      <c r="AA139" s="230"/>
      <c r="AB139" s="230"/>
      <c r="AD139" s="230"/>
      <c r="AE139" s="265"/>
      <c r="AF139" s="265"/>
      <c r="AG139" s="230"/>
      <c r="AH139" s="230"/>
      <c r="AI139" s="265"/>
      <c r="AJ139" s="265"/>
    </row>
    <row r="140" spans="1:36" ht="14.4" hidden="1" thickTop="1" x14ac:dyDescent="0.25">
      <c r="A140" s="70"/>
      <c r="B140" s="70"/>
      <c r="C140" s="70"/>
      <c r="D140" s="70"/>
      <c r="E140" s="70"/>
      <c r="F140" s="71"/>
      <c r="G140" s="70"/>
      <c r="H140" s="71"/>
      <c r="I140" s="71"/>
      <c r="J140" s="71"/>
      <c r="K140" s="71"/>
      <c r="L140" s="71"/>
      <c r="M140" s="74">
        <v>2</v>
      </c>
      <c r="N140" s="75">
        <f>IF($H$136=2, 50000,0)</f>
        <v>0</v>
      </c>
      <c r="O140" s="196"/>
      <c r="P140" s="196"/>
      <c r="Q140" s="642"/>
      <c r="R140" s="642"/>
      <c r="S140" s="642"/>
      <c r="T140" s="328"/>
      <c r="U140" s="230"/>
      <c r="V140" s="230"/>
      <c r="W140" s="230"/>
      <c r="X140" s="866"/>
      <c r="Y140" s="866"/>
      <c r="Z140" s="230"/>
      <c r="AA140" s="230"/>
      <c r="AB140" s="230"/>
      <c r="AD140" s="230"/>
      <c r="AE140" s="265"/>
      <c r="AF140" s="265"/>
      <c r="AG140" s="230"/>
      <c r="AH140" s="230"/>
      <c r="AI140" s="265"/>
      <c r="AJ140" s="265"/>
    </row>
    <row r="141" spans="1:36" ht="14.4" hidden="1" thickTop="1" x14ac:dyDescent="0.25">
      <c r="A141" s="70"/>
      <c r="B141" s="70"/>
      <c r="C141" s="70"/>
      <c r="D141" s="70"/>
      <c r="E141" s="70"/>
      <c r="F141" s="71"/>
      <c r="G141" s="70"/>
      <c r="H141" s="71"/>
      <c r="I141" s="71"/>
      <c r="J141" s="71"/>
      <c r="K141" s="71"/>
      <c r="L141" s="71"/>
      <c r="M141" s="74">
        <v>3</v>
      </c>
      <c r="N141" s="75">
        <f>IF($H$136=3, 75000,0)</f>
        <v>0</v>
      </c>
      <c r="O141" s="196"/>
      <c r="P141" s="196"/>
      <c r="Q141" s="642"/>
      <c r="R141" s="642"/>
      <c r="S141" s="642"/>
      <c r="T141" s="328"/>
      <c r="U141" s="230"/>
      <c r="V141" s="230"/>
      <c r="W141" s="230"/>
      <c r="X141" s="866"/>
      <c r="Y141" s="866"/>
      <c r="Z141" s="230"/>
      <c r="AA141" s="230"/>
      <c r="AB141" s="230"/>
      <c r="AD141" s="230"/>
      <c r="AE141" s="265"/>
      <c r="AF141" s="265"/>
      <c r="AG141" s="230"/>
      <c r="AH141" s="230"/>
      <c r="AI141" s="265"/>
      <c r="AJ141" s="265"/>
    </row>
    <row r="142" spans="1:36" ht="13.5" hidden="1" customHeight="1" x14ac:dyDescent="0.25">
      <c r="A142" s="70"/>
      <c r="B142" s="70"/>
      <c r="C142" s="70"/>
      <c r="D142" s="70"/>
      <c r="E142" s="70"/>
      <c r="F142" s="71"/>
      <c r="G142" s="70"/>
      <c r="H142" s="71"/>
      <c r="I142" s="71"/>
      <c r="J142" s="71"/>
      <c r="K142" s="71"/>
      <c r="L142" s="71"/>
      <c r="M142" s="74">
        <v>4</v>
      </c>
      <c r="N142" s="75">
        <f>IF($H$136=4, 100000,0)</f>
        <v>0</v>
      </c>
      <c r="O142" s="196"/>
      <c r="P142" s="196"/>
      <c r="Q142" s="642"/>
      <c r="R142" s="642"/>
      <c r="S142" s="642"/>
      <c r="T142" s="328"/>
      <c r="U142" s="230"/>
      <c r="V142" s="230"/>
      <c r="W142" s="230"/>
      <c r="X142" s="866"/>
      <c r="Y142" s="866"/>
      <c r="Z142" s="230"/>
      <c r="AA142" s="230"/>
      <c r="AB142" s="230"/>
      <c r="AD142" s="230"/>
      <c r="AE142" s="265"/>
      <c r="AF142" s="265"/>
      <c r="AG142" s="230"/>
      <c r="AH142" s="230"/>
      <c r="AI142" s="265"/>
      <c r="AJ142" s="265"/>
    </row>
    <row r="143" spans="1:36" ht="13.5" hidden="1" customHeight="1" x14ac:dyDescent="0.25">
      <c r="A143" s="70"/>
      <c r="B143" s="70"/>
      <c r="C143" s="70"/>
      <c r="D143" s="70"/>
      <c r="E143" s="70"/>
      <c r="F143" s="71"/>
      <c r="G143" s="70"/>
      <c r="H143" s="71"/>
      <c r="I143" s="71"/>
      <c r="J143" s="71"/>
      <c r="K143" s="71"/>
      <c r="L143" s="71"/>
      <c r="M143" s="74">
        <v>5</v>
      </c>
      <c r="N143" s="75">
        <f>IF($H$136=5, 125000,0)</f>
        <v>0</v>
      </c>
      <c r="O143" s="196"/>
      <c r="P143" s="196"/>
      <c r="Q143" s="642"/>
      <c r="R143" s="642"/>
      <c r="S143" s="642"/>
      <c r="T143" s="328"/>
      <c r="U143" s="230"/>
      <c r="V143" s="230"/>
      <c r="W143" s="230"/>
      <c r="X143" s="866"/>
      <c r="Y143" s="866"/>
      <c r="Z143" s="230"/>
      <c r="AA143" s="230"/>
      <c r="AB143" s="230"/>
      <c r="AD143" s="230"/>
      <c r="AE143" s="265"/>
      <c r="AF143" s="265"/>
      <c r="AG143" s="230"/>
      <c r="AH143" s="230"/>
      <c r="AI143" s="265"/>
      <c r="AJ143" s="265"/>
    </row>
    <row r="144" spans="1:36" ht="14.4" hidden="1" thickTop="1" x14ac:dyDescent="0.25">
      <c r="A144" s="70"/>
      <c r="B144" s="70"/>
      <c r="C144" s="70"/>
      <c r="D144" s="70"/>
      <c r="E144" s="70"/>
      <c r="F144" s="71"/>
      <c r="G144" s="70"/>
      <c r="H144" s="71"/>
      <c r="I144" s="71"/>
      <c r="J144" s="71"/>
      <c r="K144" s="71"/>
      <c r="L144" s="71"/>
      <c r="M144" s="74">
        <v>6</v>
      </c>
      <c r="N144" s="75">
        <f>IF($H$136=6, 150000,0)</f>
        <v>0</v>
      </c>
      <c r="O144" s="196"/>
      <c r="P144" s="196"/>
      <c r="Q144" s="642"/>
      <c r="R144" s="642"/>
      <c r="S144" s="642"/>
      <c r="T144" s="328"/>
      <c r="U144" s="230"/>
      <c r="V144" s="230"/>
      <c r="W144" s="230"/>
      <c r="X144" s="866"/>
      <c r="Y144" s="866"/>
      <c r="Z144" s="230"/>
      <c r="AA144" s="230"/>
      <c r="AB144" s="230"/>
      <c r="AD144" s="230"/>
      <c r="AE144" s="265"/>
      <c r="AF144" s="265"/>
      <c r="AG144" s="230"/>
      <c r="AH144" s="230"/>
      <c r="AI144" s="265"/>
      <c r="AJ144" s="265"/>
    </row>
    <row r="145" spans="1:36" ht="14.4" hidden="1" thickTop="1" x14ac:dyDescent="0.25">
      <c r="A145" s="70"/>
      <c r="B145" s="70"/>
      <c r="C145" s="70"/>
      <c r="D145" s="70"/>
      <c r="E145" s="70"/>
      <c r="F145" s="71"/>
      <c r="G145" s="70"/>
      <c r="H145" s="71"/>
      <c r="I145" s="71"/>
      <c r="J145" s="71"/>
      <c r="K145" s="71"/>
      <c r="L145" s="71"/>
      <c r="M145" s="74">
        <v>7</v>
      </c>
      <c r="N145" s="75">
        <f>IF($H$136=7, 175000,0)</f>
        <v>0</v>
      </c>
      <c r="O145" s="196"/>
      <c r="P145" s="196"/>
      <c r="Q145" s="642"/>
      <c r="R145" s="642"/>
      <c r="S145" s="642"/>
      <c r="T145" s="328"/>
      <c r="U145" s="230"/>
      <c r="V145" s="230"/>
      <c r="W145" s="230"/>
      <c r="X145" s="866"/>
      <c r="Y145" s="866"/>
      <c r="Z145" s="230"/>
      <c r="AA145" s="230"/>
      <c r="AB145" s="230"/>
      <c r="AD145" s="230"/>
      <c r="AE145" s="265"/>
      <c r="AF145" s="265"/>
      <c r="AG145" s="230"/>
      <c r="AH145" s="230"/>
      <c r="AI145" s="265"/>
      <c r="AJ145" s="265"/>
    </row>
    <row r="146" spans="1:36" ht="14.4" hidden="1" thickTop="1" x14ac:dyDescent="0.25">
      <c r="A146" s="70"/>
      <c r="B146" s="70"/>
      <c r="C146" s="70"/>
      <c r="D146" s="70"/>
      <c r="E146" s="70"/>
      <c r="F146" s="71"/>
      <c r="G146" s="70"/>
      <c r="H146" s="71"/>
      <c r="I146" s="71"/>
      <c r="J146" s="71"/>
      <c r="K146" s="71"/>
      <c r="L146" s="71"/>
      <c r="M146" s="74">
        <v>8</v>
      </c>
      <c r="N146" s="75">
        <f>IF($H$136=8, 200000,0)</f>
        <v>0</v>
      </c>
      <c r="O146" s="196"/>
      <c r="P146" s="196"/>
      <c r="Q146" s="642"/>
      <c r="R146" s="642"/>
      <c r="S146" s="642"/>
      <c r="T146" s="328"/>
      <c r="U146" s="230"/>
      <c r="V146" s="230"/>
      <c r="W146" s="230"/>
      <c r="X146" s="866"/>
      <c r="Y146" s="866"/>
      <c r="Z146" s="230"/>
      <c r="AA146" s="230"/>
      <c r="AB146" s="230"/>
      <c r="AD146" s="230"/>
      <c r="AE146" s="265"/>
      <c r="AF146" s="265"/>
      <c r="AG146" s="230"/>
      <c r="AH146" s="230"/>
      <c r="AI146" s="265"/>
      <c r="AJ146" s="265"/>
    </row>
    <row r="147" spans="1:36" ht="14.4" hidden="1" thickTop="1" x14ac:dyDescent="0.25">
      <c r="A147" s="70"/>
      <c r="B147" s="70"/>
      <c r="C147" s="70"/>
      <c r="D147" s="70"/>
      <c r="E147" s="70"/>
      <c r="F147" s="71"/>
      <c r="G147" s="70"/>
      <c r="H147" s="71"/>
      <c r="I147" s="71"/>
      <c r="J147" s="71"/>
      <c r="K147" s="71"/>
      <c r="L147" s="71"/>
      <c r="M147" s="74">
        <v>9</v>
      </c>
      <c r="N147" s="75">
        <f>IF($H$136=9, 225000,0)</f>
        <v>0</v>
      </c>
      <c r="O147" s="196"/>
      <c r="P147" s="196"/>
      <c r="Q147" s="642"/>
      <c r="R147" s="642"/>
      <c r="S147" s="642"/>
      <c r="T147" s="328"/>
      <c r="U147" s="230"/>
      <c r="V147" s="230"/>
      <c r="W147" s="230"/>
      <c r="X147" s="866"/>
      <c r="Y147" s="866"/>
      <c r="Z147" s="230"/>
      <c r="AA147" s="230"/>
      <c r="AB147" s="230"/>
      <c r="AD147" s="230"/>
      <c r="AE147" s="265"/>
      <c r="AF147" s="265"/>
      <c r="AG147" s="230"/>
      <c r="AH147" s="230"/>
      <c r="AI147" s="265"/>
      <c r="AJ147" s="265"/>
    </row>
    <row r="148" spans="1:36" ht="14.4" hidden="1" thickTop="1" x14ac:dyDescent="0.25">
      <c r="A148" s="70"/>
      <c r="B148" s="70"/>
      <c r="C148" s="70"/>
      <c r="D148" s="70"/>
      <c r="E148" s="70"/>
      <c r="F148" s="71"/>
      <c r="G148" s="70"/>
      <c r="H148" s="71"/>
      <c r="I148" s="71"/>
      <c r="J148" s="71"/>
      <c r="K148" s="71"/>
      <c r="L148" s="71"/>
      <c r="M148" s="74">
        <v>10</v>
      </c>
      <c r="N148" s="75">
        <f>IF($H$136=10, 250000,0)</f>
        <v>0</v>
      </c>
      <c r="O148" s="196"/>
      <c r="P148" s="196"/>
      <c r="Q148" s="642"/>
      <c r="R148" s="642"/>
      <c r="S148" s="642"/>
      <c r="T148" s="328"/>
      <c r="U148" s="230"/>
      <c r="V148" s="230"/>
      <c r="W148" s="230"/>
      <c r="X148" s="866"/>
      <c r="Y148" s="866"/>
      <c r="Z148" s="230"/>
      <c r="AA148" s="230"/>
      <c r="AB148" s="230"/>
      <c r="AD148" s="230"/>
      <c r="AE148" s="265"/>
      <c r="AF148" s="265"/>
      <c r="AG148" s="230"/>
      <c r="AH148" s="230"/>
      <c r="AI148" s="265"/>
      <c r="AJ148" s="265"/>
    </row>
    <row r="149" spans="1:36" ht="14.4" hidden="1" thickTop="1" x14ac:dyDescent="0.25">
      <c r="A149" s="70"/>
      <c r="B149" s="70"/>
      <c r="C149" s="70"/>
      <c r="D149" s="70"/>
      <c r="E149" s="70"/>
      <c r="F149" s="71"/>
      <c r="G149" s="70"/>
      <c r="H149" s="71"/>
      <c r="I149" s="71"/>
      <c r="J149" s="71"/>
      <c r="K149" s="71"/>
      <c r="L149" s="71"/>
      <c r="M149" s="74">
        <v>11</v>
      </c>
      <c r="N149" s="75">
        <f>IF($H$136=11, 275000,0)</f>
        <v>0</v>
      </c>
      <c r="O149" s="196"/>
      <c r="P149" s="196"/>
      <c r="Q149" s="642"/>
      <c r="R149" s="642"/>
      <c r="S149" s="642"/>
      <c r="T149" s="328"/>
      <c r="U149" s="230"/>
      <c r="V149" s="230"/>
      <c r="W149" s="230"/>
      <c r="X149" s="866"/>
      <c r="Y149" s="866"/>
      <c r="Z149" s="230"/>
      <c r="AA149" s="230"/>
      <c r="AB149" s="230"/>
      <c r="AD149" s="230"/>
      <c r="AE149" s="265"/>
      <c r="AF149" s="265"/>
      <c r="AG149" s="230"/>
      <c r="AH149" s="230"/>
      <c r="AI149" s="265"/>
      <c r="AJ149" s="265"/>
    </row>
    <row r="150" spans="1:36" ht="14.4" hidden="1" thickTop="1" x14ac:dyDescent="0.25">
      <c r="A150" s="70"/>
      <c r="B150" s="70"/>
      <c r="C150" s="70"/>
      <c r="D150" s="70"/>
      <c r="E150" s="70"/>
      <c r="F150" s="71"/>
      <c r="G150" s="70"/>
      <c r="H150" s="71"/>
      <c r="I150" s="71"/>
      <c r="J150" s="71"/>
      <c r="K150" s="71"/>
      <c r="L150" s="71"/>
      <c r="M150" s="74">
        <v>12</v>
      </c>
      <c r="N150" s="75">
        <f>IF($H$136=12, 300000,0)</f>
        <v>0</v>
      </c>
      <c r="O150" s="196"/>
      <c r="P150" s="196"/>
      <c r="Q150" s="642"/>
      <c r="R150" s="642"/>
      <c r="S150" s="642"/>
      <c r="T150" s="328"/>
      <c r="U150" s="230"/>
      <c r="V150" s="230"/>
      <c r="W150" s="230"/>
      <c r="X150" s="866"/>
      <c r="Y150" s="866"/>
      <c r="Z150" s="230"/>
      <c r="AA150" s="230"/>
      <c r="AB150" s="230"/>
      <c r="AD150" s="230"/>
      <c r="AE150" s="265"/>
      <c r="AF150" s="265"/>
      <c r="AG150" s="230"/>
      <c r="AH150" s="230"/>
      <c r="AI150" s="265"/>
      <c r="AJ150" s="265"/>
    </row>
    <row r="151" spans="1:36" ht="14.4" hidden="1" thickTop="1" x14ac:dyDescent="0.25">
      <c r="A151" s="70"/>
      <c r="B151" s="70"/>
      <c r="C151" s="70"/>
      <c r="D151" s="70"/>
      <c r="E151" s="70"/>
      <c r="F151" s="71"/>
      <c r="G151" s="70"/>
      <c r="H151" s="71"/>
      <c r="I151" s="71"/>
      <c r="J151" s="71"/>
      <c r="K151" s="71"/>
      <c r="L151" s="71"/>
      <c r="M151" s="74">
        <v>13</v>
      </c>
      <c r="N151" s="75">
        <f>IF($H$136=13, 325000,0)</f>
        <v>0</v>
      </c>
      <c r="O151" s="196"/>
      <c r="P151" s="196"/>
      <c r="Q151" s="642"/>
      <c r="R151" s="642"/>
      <c r="S151" s="642"/>
      <c r="T151" s="328"/>
      <c r="U151" s="230"/>
      <c r="V151" s="230"/>
      <c r="W151" s="230"/>
      <c r="X151" s="866"/>
      <c r="Y151" s="866"/>
      <c r="Z151" s="230"/>
      <c r="AA151" s="230"/>
      <c r="AB151" s="230"/>
      <c r="AD151" s="230"/>
      <c r="AE151" s="265"/>
      <c r="AF151" s="265"/>
      <c r="AG151" s="230"/>
      <c r="AH151" s="230"/>
      <c r="AI151" s="265"/>
      <c r="AJ151" s="265"/>
    </row>
    <row r="152" spans="1:36" ht="14.4" hidden="1" thickTop="1" x14ac:dyDescent="0.25">
      <c r="A152" s="70"/>
      <c r="B152" s="70"/>
      <c r="C152" s="70"/>
      <c r="D152" s="70"/>
      <c r="E152" s="70"/>
      <c r="F152" s="71"/>
      <c r="G152" s="70"/>
      <c r="H152" s="71"/>
      <c r="I152" s="71"/>
      <c r="J152" s="71"/>
      <c r="K152" s="71"/>
      <c r="L152" s="71"/>
      <c r="M152" s="74">
        <v>14</v>
      </c>
      <c r="N152" s="75">
        <f>IF($H$136=14, 350000,0)</f>
        <v>0</v>
      </c>
      <c r="O152" s="196"/>
      <c r="P152" s="196"/>
      <c r="Q152" s="642"/>
      <c r="R152" s="642"/>
      <c r="S152" s="642"/>
      <c r="T152" s="328"/>
      <c r="U152" s="230"/>
      <c r="V152" s="230"/>
      <c r="W152" s="230"/>
      <c r="X152" s="866"/>
      <c r="Y152" s="866"/>
      <c r="Z152" s="230"/>
      <c r="AA152" s="230"/>
      <c r="AB152" s="230"/>
      <c r="AD152" s="230"/>
      <c r="AE152" s="265"/>
      <c r="AF152" s="265"/>
      <c r="AG152" s="230"/>
      <c r="AH152" s="230"/>
      <c r="AI152" s="265"/>
      <c r="AJ152" s="265"/>
    </row>
    <row r="153" spans="1:36" ht="14.4" hidden="1" thickTop="1" x14ac:dyDescent="0.25">
      <c r="A153" s="70"/>
      <c r="B153" s="70"/>
      <c r="C153" s="70"/>
      <c r="D153" s="70"/>
      <c r="E153" s="70"/>
      <c r="F153" s="71"/>
      <c r="G153" s="70"/>
      <c r="H153" s="71"/>
      <c r="I153" s="71"/>
      <c r="J153" s="71"/>
      <c r="K153" s="71"/>
      <c r="L153" s="71"/>
      <c r="M153" s="74">
        <v>15</v>
      </c>
      <c r="N153" s="75">
        <f>IF($H$136=15, 375000,0)</f>
        <v>0</v>
      </c>
      <c r="O153" s="196"/>
      <c r="P153" s="196"/>
      <c r="Q153" s="642"/>
      <c r="R153" s="642"/>
      <c r="S153" s="642"/>
      <c r="T153" s="328"/>
      <c r="U153" s="230"/>
      <c r="V153" s="230"/>
      <c r="W153" s="230"/>
      <c r="X153" s="866"/>
      <c r="Y153" s="866"/>
      <c r="Z153" s="230"/>
      <c r="AA153" s="230"/>
      <c r="AB153" s="230"/>
      <c r="AD153" s="230"/>
      <c r="AE153" s="265"/>
      <c r="AF153" s="265"/>
      <c r="AG153" s="230"/>
      <c r="AH153" s="230"/>
      <c r="AI153" s="265"/>
      <c r="AJ153" s="265"/>
    </row>
    <row r="154" spans="1:36" ht="14.4" hidden="1" thickTop="1" x14ac:dyDescent="0.25">
      <c r="A154" s="70"/>
      <c r="B154" s="70"/>
      <c r="C154" s="70"/>
      <c r="D154" s="70"/>
      <c r="E154" s="70"/>
      <c r="F154" s="71"/>
      <c r="G154" s="70"/>
      <c r="H154" s="71"/>
      <c r="I154" s="71"/>
      <c r="J154" s="71"/>
      <c r="K154" s="71"/>
      <c r="L154" s="71"/>
      <c r="M154" s="74">
        <v>16</v>
      </c>
      <c r="N154" s="75">
        <f>IF($H$136=16, 400000,0)</f>
        <v>0</v>
      </c>
      <c r="O154" s="196"/>
      <c r="P154" s="196"/>
      <c r="Q154" s="642"/>
      <c r="R154" s="642"/>
      <c r="S154" s="642"/>
      <c r="T154" s="328"/>
      <c r="U154" s="230"/>
      <c r="V154" s="230"/>
      <c r="W154" s="230"/>
      <c r="X154" s="866"/>
      <c r="Y154" s="866"/>
      <c r="Z154" s="230"/>
      <c r="AA154" s="230"/>
      <c r="AB154" s="230"/>
      <c r="AD154" s="230"/>
      <c r="AE154" s="265"/>
      <c r="AF154" s="265"/>
      <c r="AG154" s="230"/>
      <c r="AH154" s="230"/>
      <c r="AI154" s="265"/>
      <c r="AJ154" s="265"/>
    </row>
    <row r="155" spans="1:36" ht="14.4" hidden="1" thickTop="1" x14ac:dyDescent="0.25">
      <c r="A155" s="70"/>
      <c r="B155" s="70"/>
      <c r="C155" s="70"/>
      <c r="D155" s="70"/>
      <c r="E155" s="70"/>
      <c r="F155" s="71"/>
      <c r="G155" s="70"/>
      <c r="H155" s="71"/>
      <c r="I155" s="71"/>
      <c r="J155" s="71"/>
      <c r="K155" s="71"/>
      <c r="L155" s="71"/>
      <c r="M155" s="71">
        <v>17</v>
      </c>
      <c r="N155" s="75">
        <f>IF($H$136=17, 425000,0)</f>
        <v>0</v>
      </c>
      <c r="O155" s="196"/>
      <c r="P155" s="196"/>
      <c r="Q155" s="642"/>
      <c r="R155" s="642"/>
      <c r="S155" s="642"/>
      <c r="T155" s="328"/>
      <c r="U155" s="230"/>
      <c r="V155" s="230"/>
      <c r="W155" s="230"/>
      <c r="X155" s="866"/>
      <c r="Y155" s="866"/>
      <c r="Z155" s="230"/>
      <c r="AA155" s="230"/>
      <c r="AB155" s="230"/>
      <c r="AD155" s="230"/>
      <c r="AE155" s="265"/>
      <c r="AF155" s="265"/>
      <c r="AG155" s="230"/>
      <c r="AH155" s="230"/>
      <c r="AI155" s="265"/>
      <c r="AJ155" s="265"/>
    </row>
    <row r="156" spans="1:36" ht="14.4" hidden="1" thickTop="1" x14ac:dyDescent="0.25">
      <c r="A156" s="70"/>
      <c r="B156" s="70"/>
      <c r="C156" s="70"/>
      <c r="D156" s="70"/>
      <c r="E156" s="70"/>
      <c r="F156" s="71"/>
      <c r="G156" s="70"/>
      <c r="H156" s="71"/>
      <c r="I156" s="71"/>
      <c r="J156" s="71"/>
      <c r="K156" s="71"/>
      <c r="L156" s="71"/>
      <c r="M156" s="71">
        <v>18</v>
      </c>
      <c r="N156" s="75">
        <f>IF($H$136=18, 450000,0)</f>
        <v>0</v>
      </c>
      <c r="O156" s="196"/>
      <c r="P156" s="196"/>
      <c r="Q156" s="642"/>
      <c r="R156" s="642"/>
      <c r="S156" s="642"/>
      <c r="T156" s="328"/>
      <c r="U156" s="230"/>
      <c r="V156" s="230"/>
      <c r="W156" s="230"/>
      <c r="X156" s="866"/>
      <c r="Y156" s="866"/>
      <c r="Z156" s="230"/>
      <c r="AA156" s="230"/>
      <c r="AB156" s="230"/>
      <c r="AD156" s="230"/>
      <c r="AE156" s="265"/>
      <c r="AF156" s="265"/>
      <c r="AG156" s="230"/>
      <c r="AH156" s="230"/>
      <c r="AI156" s="265"/>
      <c r="AJ156" s="265"/>
    </row>
    <row r="157" spans="1:36" ht="14.4" hidden="1" thickTop="1" x14ac:dyDescent="0.25">
      <c r="A157" s="70"/>
      <c r="B157" s="70"/>
      <c r="C157" s="70"/>
      <c r="D157" s="70"/>
      <c r="E157" s="70"/>
      <c r="F157" s="71"/>
      <c r="G157" s="70"/>
      <c r="H157" s="71"/>
      <c r="I157" s="71"/>
      <c r="J157" s="71"/>
      <c r="K157" s="71"/>
      <c r="L157" s="71"/>
      <c r="M157" s="71">
        <v>19</v>
      </c>
      <c r="N157" s="75">
        <f>IF($H$136=19, 475000,0)</f>
        <v>0</v>
      </c>
      <c r="O157" s="196"/>
      <c r="P157" s="196"/>
      <c r="Q157" s="642"/>
      <c r="R157" s="642"/>
      <c r="S157" s="642"/>
      <c r="T157" s="328"/>
      <c r="U157" s="230"/>
      <c r="V157" s="230"/>
      <c r="W157" s="230"/>
      <c r="X157" s="866"/>
      <c r="Y157" s="866"/>
      <c r="Z157" s="230"/>
      <c r="AA157" s="230"/>
      <c r="AB157" s="230"/>
      <c r="AD157" s="230"/>
      <c r="AE157" s="265"/>
      <c r="AF157" s="265"/>
      <c r="AG157" s="230"/>
      <c r="AH157" s="230"/>
      <c r="AI157" s="265"/>
      <c r="AJ157" s="265"/>
    </row>
    <row r="158" spans="1:36" ht="14.4" hidden="1" thickTop="1" x14ac:dyDescent="0.25">
      <c r="A158" s="70"/>
      <c r="B158" s="70"/>
      <c r="C158" s="70"/>
      <c r="D158" s="70"/>
      <c r="E158" s="70"/>
      <c r="F158" s="71"/>
      <c r="G158" s="70"/>
      <c r="H158" s="71"/>
      <c r="I158" s="71"/>
      <c r="J158" s="71"/>
      <c r="K158" s="71"/>
      <c r="L158" s="71"/>
      <c r="M158" s="71">
        <v>20</v>
      </c>
      <c r="N158" s="75">
        <f>IF($H$136=20, 500000,0)</f>
        <v>0</v>
      </c>
      <c r="O158" s="196"/>
      <c r="P158" s="196"/>
      <c r="Q158" s="642"/>
      <c r="R158" s="642"/>
      <c r="S158" s="642"/>
      <c r="T158" s="328"/>
      <c r="U158" s="230"/>
      <c r="V158" s="230"/>
      <c r="W158" s="230"/>
      <c r="X158" s="866"/>
      <c r="Y158" s="866"/>
      <c r="Z158" s="230"/>
      <c r="AA158" s="230"/>
      <c r="AB158" s="230"/>
      <c r="AD158" s="230"/>
      <c r="AE158" s="265"/>
      <c r="AF158" s="265"/>
      <c r="AG158" s="230"/>
      <c r="AH158" s="230"/>
      <c r="AI158" s="265"/>
      <c r="AJ158" s="265"/>
    </row>
    <row r="159" spans="1:36" ht="14.4" hidden="1" thickTop="1" x14ac:dyDescent="0.25">
      <c r="A159" s="70"/>
      <c r="B159" s="70"/>
      <c r="C159" s="70"/>
      <c r="D159" s="70"/>
      <c r="E159" s="70"/>
      <c r="F159" s="71"/>
      <c r="G159" s="70"/>
      <c r="H159" s="71"/>
      <c r="I159" s="71"/>
      <c r="J159" s="71"/>
      <c r="K159" s="71"/>
      <c r="L159" s="71"/>
      <c r="M159" s="71">
        <v>21</v>
      </c>
      <c r="N159" s="75">
        <f>IF($H$136=21, 525000,0)</f>
        <v>0</v>
      </c>
      <c r="O159" s="196"/>
      <c r="P159" s="196"/>
      <c r="Q159" s="642"/>
      <c r="R159" s="642"/>
      <c r="S159" s="642"/>
      <c r="T159" s="328"/>
      <c r="U159" s="230"/>
      <c r="V159" s="230"/>
      <c r="W159" s="230"/>
      <c r="X159" s="866"/>
      <c r="Y159" s="866"/>
      <c r="Z159" s="230"/>
      <c r="AA159" s="230"/>
      <c r="AB159" s="230"/>
      <c r="AD159" s="230"/>
      <c r="AE159" s="265"/>
      <c r="AF159" s="265"/>
      <c r="AG159" s="230"/>
      <c r="AH159" s="230"/>
      <c r="AI159" s="265"/>
      <c r="AJ159" s="265"/>
    </row>
    <row r="160" spans="1:36" ht="14.4" hidden="1" thickTop="1" x14ac:dyDescent="0.25">
      <c r="A160" s="70"/>
      <c r="B160" s="70"/>
      <c r="C160" s="70"/>
      <c r="D160" s="70"/>
      <c r="E160" s="70"/>
      <c r="F160" s="71"/>
      <c r="G160" s="70"/>
      <c r="H160" s="71"/>
      <c r="I160" s="71"/>
      <c r="J160" s="71"/>
      <c r="K160" s="71"/>
      <c r="L160" s="71"/>
      <c r="M160" s="71">
        <v>22</v>
      </c>
      <c r="N160" s="75">
        <f>IF($H$136=22, 555000,0)</f>
        <v>0</v>
      </c>
      <c r="O160" s="196"/>
      <c r="P160" s="196"/>
      <c r="Q160" s="642"/>
      <c r="R160" s="642"/>
      <c r="S160" s="642"/>
      <c r="T160" s="328"/>
      <c r="U160" s="230"/>
      <c r="V160" s="230"/>
      <c r="W160" s="230"/>
      <c r="X160" s="866"/>
      <c r="Y160" s="866"/>
      <c r="Z160" s="230"/>
      <c r="AA160" s="230"/>
      <c r="AB160" s="230"/>
      <c r="AD160" s="230"/>
      <c r="AE160" s="265"/>
      <c r="AF160" s="265"/>
      <c r="AG160" s="230"/>
      <c r="AH160" s="230"/>
      <c r="AI160" s="265"/>
      <c r="AJ160" s="265"/>
    </row>
    <row r="161" spans="1:36" ht="14.4" hidden="1" thickTop="1" x14ac:dyDescent="0.25">
      <c r="A161" s="70"/>
      <c r="B161" s="70"/>
      <c r="C161" s="70"/>
      <c r="D161" s="70"/>
      <c r="E161" s="70"/>
      <c r="F161" s="71"/>
      <c r="G161" s="70"/>
      <c r="H161" s="71"/>
      <c r="I161" s="71"/>
      <c r="J161" s="71"/>
      <c r="K161" s="71"/>
      <c r="L161" s="71"/>
      <c r="M161" s="71">
        <v>23</v>
      </c>
      <c r="N161" s="75">
        <f>IF($H$136=23, 575000,0)</f>
        <v>0</v>
      </c>
      <c r="O161" s="196"/>
      <c r="P161" s="196"/>
      <c r="Q161" s="642"/>
      <c r="R161" s="642"/>
      <c r="S161" s="642"/>
      <c r="T161" s="328"/>
      <c r="U161" s="230"/>
      <c r="V161" s="230"/>
      <c r="W161" s="230"/>
      <c r="X161" s="866"/>
      <c r="Y161" s="866"/>
      <c r="Z161" s="230"/>
      <c r="AA161" s="230"/>
      <c r="AB161" s="230"/>
      <c r="AD161" s="230"/>
      <c r="AE161" s="265"/>
      <c r="AF161" s="265"/>
      <c r="AG161" s="230"/>
      <c r="AH161" s="230"/>
      <c r="AI161" s="265"/>
      <c r="AJ161" s="265"/>
    </row>
    <row r="162" spans="1:36" ht="14.4" hidden="1" thickTop="1" x14ac:dyDescent="0.25">
      <c r="A162" s="70"/>
      <c r="B162" s="70"/>
      <c r="C162" s="70"/>
      <c r="D162" s="70"/>
      <c r="E162" s="70"/>
      <c r="F162" s="71"/>
      <c r="G162" s="70"/>
      <c r="H162" s="71"/>
      <c r="I162" s="71"/>
      <c r="J162" s="71"/>
      <c r="K162" s="71"/>
      <c r="L162" s="71"/>
      <c r="M162" s="71">
        <v>24</v>
      </c>
      <c r="N162" s="75">
        <f>IF($H$136=24, 600000,0)</f>
        <v>0</v>
      </c>
      <c r="O162" s="196"/>
      <c r="P162" s="196"/>
      <c r="Q162" s="642"/>
      <c r="R162" s="642"/>
      <c r="S162" s="642"/>
      <c r="T162" s="328"/>
      <c r="U162" s="230"/>
      <c r="V162" s="230"/>
      <c r="W162" s="230"/>
      <c r="X162" s="866"/>
      <c r="Y162" s="866"/>
      <c r="Z162" s="230"/>
      <c r="AA162" s="230"/>
      <c r="AB162" s="230"/>
      <c r="AD162" s="230"/>
      <c r="AE162" s="265"/>
      <c r="AF162" s="265"/>
      <c r="AG162" s="230"/>
      <c r="AH162" s="230"/>
      <c r="AI162" s="265"/>
      <c r="AJ162" s="265"/>
    </row>
    <row r="163" spans="1:36" ht="14.4" hidden="1" thickTop="1" x14ac:dyDescent="0.25">
      <c r="A163" s="70"/>
      <c r="B163" s="70"/>
      <c r="C163" s="70"/>
      <c r="D163" s="70"/>
      <c r="E163" s="70"/>
      <c r="F163" s="71"/>
      <c r="G163" s="70"/>
      <c r="H163" s="71"/>
      <c r="I163" s="71"/>
      <c r="J163" s="71"/>
      <c r="K163" s="71"/>
      <c r="L163" s="71"/>
      <c r="M163" s="71">
        <v>25</v>
      </c>
      <c r="N163" s="75">
        <f>IF($H$136=25, 625000,0)</f>
        <v>0</v>
      </c>
      <c r="O163" s="196"/>
      <c r="P163" s="196"/>
      <c r="Q163" s="642"/>
      <c r="R163" s="642"/>
      <c r="S163" s="642"/>
      <c r="T163" s="328"/>
      <c r="U163" s="230"/>
      <c r="V163" s="230"/>
      <c r="W163" s="230"/>
      <c r="X163" s="866"/>
      <c r="Y163" s="866"/>
      <c r="Z163" s="230"/>
      <c r="AA163" s="230"/>
      <c r="AB163" s="230"/>
      <c r="AD163" s="230"/>
      <c r="AE163" s="265"/>
      <c r="AF163" s="265"/>
      <c r="AG163" s="230"/>
      <c r="AH163" s="230"/>
      <c r="AI163" s="265"/>
      <c r="AJ163" s="265"/>
    </row>
    <row r="164" spans="1:36" ht="14.4" hidden="1" thickTop="1" x14ac:dyDescent="0.25">
      <c r="A164" s="70"/>
      <c r="B164" s="70"/>
      <c r="C164" s="70"/>
      <c r="D164" s="70"/>
      <c r="E164" s="70"/>
      <c r="F164" s="71"/>
      <c r="G164" s="70"/>
      <c r="H164" s="71"/>
      <c r="I164" s="71"/>
      <c r="J164" s="71"/>
      <c r="K164" s="71"/>
      <c r="L164" s="71"/>
      <c r="M164" s="71"/>
      <c r="N164" s="75"/>
      <c r="O164" s="196"/>
      <c r="P164" s="196"/>
      <c r="Q164" s="642"/>
      <c r="R164" s="642"/>
      <c r="S164" s="642"/>
      <c r="T164" s="328"/>
      <c r="U164" s="230"/>
      <c r="V164" s="230"/>
      <c r="W164" s="230"/>
      <c r="X164" s="866"/>
      <c r="Y164" s="866"/>
      <c r="Z164" s="230"/>
      <c r="AA164" s="230"/>
      <c r="AB164" s="230"/>
      <c r="AD164" s="230"/>
      <c r="AE164" s="265"/>
      <c r="AF164" s="265"/>
      <c r="AG164" s="230"/>
      <c r="AH164" s="230"/>
      <c r="AI164" s="265"/>
      <c r="AJ164" s="265"/>
    </row>
    <row r="165" spans="1:36" ht="15" thickTop="1" thickBot="1" x14ac:dyDescent="0.3">
      <c r="A165" s="453"/>
      <c r="B165" s="453"/>
      <c r="C165" s="453"/>
      <c r="D165" s="328"/>
      <c r="E165" s="453"/>
      <c r="F165" s="328"/>
      <c r="G165" s="328"/>
      <c r="H165" s="328"/>
      <c r="I165" s="328"/>
      <c r="J165" s="328"/>
      <c r="K165" s="328"/>
      <c r="L165" s="328"/>
      <c r="M165" s="328"/>
      <c r="N165" s="443"/>
      <c r="O165" s="90"/>
      <c r="P165" s="90"/>
      <c r="Q165" s="642"/>
      <c r="R165" s="642"/>
      <c r="S165" s="642"/>
      <c r="T165" s="328"/>
      <c r="U165" s="230"/>
      <c r="V165" s="230"/>
      <c r="W165" s="230"/>
      <c r="X165" s="866"/>
      <c r="Y165" s="866"/>
      <c r="Z165" s="230"/>
      <c r="AA165" s="230"/>
      <c r="AB165" s="230"/>
      <c r="AD165" s="230"/>
      <c r="AE165" s="265"/>
      <c r="AF165" s="265"/>
      <c r="AG165" s="230"/>
      <c r="AH165" s="230"/>
      <c r="AI165" s="265"/>
      <c r="AJ165" s="265"/>
    </row>
    <row r="166" spans="1:36" ht="15.6" thickTop="1" thickBot="1" x14ac:dyDescent="0.35">
      <c r="A166" s="1226" t="s">
        <v>427</v>
      </c>
      <c r="B166" s="1226"/>
      <c r="C166" s="319"/>
      <c r="D166" s="320"/>
      <c r="E166" s="319"/>
      <c r="F166" s="320"/>
      <c r="G166" s="320"/>
      <c r="H166" s="321" t="s">
        <v>60</v>
      </c>
      <c r="I166" s="320"/>
      <c r="J166" s="320"/>
      <c r="K166" s="458"/>
      <c r="L166" s="320"/>
      <c r="M166" s="320"/>
      <c r="N166" s="1094" t="s">
        <v>226</v>
      </c>
      <c r="O166" s="192"/>
      <c r="P166" s="192"/>
      <c r="Q166" s="642"/>
      <c r="R166" s="642"/>
      <c r="S166" s="642"/>
      <c r="T166" s="328"/>
      <c r="U166" s="230"/>
      <c r="V166" s="230"/>
      <c r="W166" s="230"/>
      <c r="X166" s="866"/>
      <c r="Y166" s="866"/>
      <c r="Z166" s="230"/>
      <c r="AA166" s="230"/>
      <c r="AB166" s="230"/>
      <c r="AD166" s="230"/>
      <c r="AE166" s="265"/>
      <c r="AF166" s="265"/>
      <c r="AG166" s="230"/>
      <c r="AH166" s="230"/>
      <c r="AI166" s="265"/>
      <c r="AJ166" s="265"/>
    </row>
    <row r="167" spans="1:36" ht="14.4" thickTop="1" x14ac:dyDescent="0.25">
      <c r="A167" s="1226" t="s">
        <v>329</v>
      </c>
      <c r="B167" s="1226"/>
      <c r="C167" s="319"/>
      <c r="D167" s="320"/>
      <c r="E167" s="319"/>
      <c r="F167" s="320"/>
      <c r="G167" s="320"/>
      <c r="H167" s="320"/>
      <c r="I167" s="320"/>
      <c r="J167" s="320"/>
      <c r="K167" s="320"/>
      <c r="L167" s="438"/>
      <c r="M167" s="320"/>
      <c r="N167" s="438"/>
      <c r="O167" s="90"/>
      <c r="P167" s="90"/>
      <c r="Q167" s="642"/>
      <c r="R167" s="642"/>
      <c r="S167" s="642"/>
      <c r="T167" s="328"/>
      <c r="U167" s="230"/>
      <c r="V167" s="230"/>
      <c r="W167" s="230"/>
      <c r="X167" s="866"/>
      <c r="Y167" s="866"/>
      <c r="Z167" s="230"/>
      <c r="AA167" s="230"/>
      <c r="AB167" s="230"/>
      <c r="AD167" s="230"/>
      <c r="AE167" s="265"/>
      <c r="AF167" s="265"/>
      <c r="AG167" s="230"/>
      <c r="AH167" s="230"/>
      <c r="AI167" s="265"/>
      <c r="AJ167" s="265"/>
    </row>
    <row r="168" spans="1:36" x14ac:dyDescent="0.25">
      <c r="A168" s="1226" t="s">
        <v>339</v>
      </c>
      <c r="B168" s="1226"/>
      <c r="C168" s="319"/>
      <c r="D168" s="320"/>
      <c r="E168" s="319"/>
      <c r="F168" s="320"/>
      <c r="G168" s="320"/>
      <c r="H168" s="320"/>
      <c r="I168" s="320"/>
      <c r="J168" s="320"/>
      <c r="K168" s="320"/>
      <c r="L168" s="438"/>
      <c r="M168" s="320"/>
      <c r="N168" s="438"/>
      <c r="O168" s="90"/>
      <c r="P168" s="90"/>
      <c r="Q168" s="642"/>
      <c r="R168" s="642"/>
      <c r="S168" s="642"/>
      <c r="T168" s="328"/>
      <c r="U168" s="230"/>
      <c r="V168" s="230"/>
      <c r="W168" s="230"/>
      <c r="X168" s="866"/>
      <c r="Y168" s="866"/>
      <c r="Z168" s="230"/>
      <c r="AA168" s="230"/>
      <c r="AB168" s="230"/>
      <c r="AD168" s="230"/>
      <c r="AE168" s="265"/>
      <c r="AF168" s="265"/>
      <c r="AG168" s="230"/>
      <c r="AH168" s="230"/>
      <c r="AI168" s="265"/>
      <c r="AJ168" s="265"/>
    </row>
    <row r="169" spans="1:36" ht="23.25" customHeight="1" thickBot="1" x14ac:dyDescent="0.3">
      <c r="A169" s="1226" t="s">
        <v>340</v>
      </c>
      <c r="B169" s="1226"/>
      <c r="C169" s="319"/>
      <c r="D169" s="320"/>
      <c r="E169" s="319"/>
      <c r="F169" s="320"/>
      <c r="G169" s="320"/>
      <c r="H169" s="320"/>
      <c r="I169" s="320"/>
      <c r="J169" s="320"/>
      <c r="K169" s="320"/>
      <c r="L169" s="438"/>
      <c r="M169" s="320"/>
      <c r="N169" s="320"/>
      <c r="O169" s="23"/>
      <c r="P169" s="23"/>
      <c r="Q169" s="642"/>
      <c r="R169" s="642"/>
      <c r="S169" s="642"/>
      <c r="T169" s="328"/>
      <c r="U169" s="230"/>
      <c r="V169" s="230"/>
      <c r="W169" s="230"/>
      <c r="X169" s="866"/>
      <c r="Y169" s="866"/>
      <c r="Z169" s="230"/>
      <c r="AA169" s="230"/>
      <c r="AB169" s="230"/>
      <c r="AD169" s="230"/>
      <c r="AE169" s="265"/>
      <c r="AF169" s="265"/>
      <c r="AG169" s="230"/>
      <c r="AH169" s="230"/>
      <c r="AI169" s="265"/>
      <c r="AJ169" s="265"/>
    </row>
    <row r="170" spans="1:36" ht="15" thickTop="1" thickBot="1" x14ac:dyDescent="0.3">
      <c r="A170" s="1226" t="s">
        <v>581</v>
      </c>
      <c r="B170" s="1226"/>
      <c r="C170" s="320"/>
      <c r="D170" s="320"/>
      <c r="E170" s="320"/>
      <c r="F170" s="320"/>
      <c r="G170" s="320"/>
      <c r="H170" s="320"/>
      <c r="I170" s="320"/>
      <c r="J170" s="320"/>
      <c r="K170" s="320"/>
      <c r="L170" s="459"/>
      <c r="M170" s="320"/>
      <c r="N170" s="460"/>
      <c r="O170" s="197"/>
      <c r="P170" s="197"/>
      <c r="Q170" s="642"/>
      <c r="R170" s="642"/>
      <c r="S170" s="642"/>
      <c r="T170" s="328"/>
      <c r="U170" s="230"/>
      <c r="V170" s="230"/>
      <c r="W170" s="230"/>
      <c r="X170" s="866"/>
      <c r="Y170" s="866"/>
      <c r="Z170" s="230"/>
      <c r="AA170" s="230"/>
      <c r="AB170" s="230"/>
      <c r="AD170" s="230"/>
      <c r="AE170" s="265"/>
      <c r="AF170" s="265"/>
      <c r="AG170" s="230"/>
      <c r="AH170" s="230"/>
      <c r="AI170" s="265"/>
      <c r="AJ170" s="265"/>
    </row>
    <row r="171" spans="1:36" ht="15.6" thickTop="1" thickBot="1" x14ac:dyDescent="0.35">
      <c r="A171" s="1228" t="s">
        <v>582</v>
      </c>
      <c r="B171" s="1228"/>
      <c r="C171" s="319"/>
      <c r="D171" s="320"/>
      <c r="E171" s="319"/>
      <c r="F171" s="319"/>
      <c r="G171" s="320"/>
      <c r="H171" s="319"/>
      <c r="I171" s="319"/>
      <c r="J171" s="319"/>
      <c r="K171" s="320"/>
      <c r="L171" s="459"/>
      <c r="M171" s="320"/>
      <c r="N171" s="460"/>
      <c r="O171" s="197"/>
      <c r="P171" s="197"/>
      <c r="Q171" s="642"/>
      <c r="R171" s="642"/>
      <c r="S171" s="642"/>
      <c r="T171" s="328"/>
      <c r="U171" s="230"/>
      <c r="V171" s="230"/>
      <c r="W171" s="230"/>
      <c r="X171" s="866"/>
      <c r="Y171" s="866"/>
      <c r="Z171" s="230"/>
      <c r="AA171" s="230"/>
      <c r="AB171" s="230"/>
      <c r="AD171" s="230"/>
      <c r="AE171" s="265"/>
      <c r="AF171" s="265"/>
      <c r="AG171" s="230"/>
      <c r="AH171" s="230"/>
      <c r="AI171" s="265"/>
      <c r="AJ171" s="265"/>
    </row>
    <row r="172" spans="1:36" ht="15.6" thickTop="1" thickBot="1" x14ac:dyDescent="0.35">
      <c r="A172" s="1222"/>
      <c r="B172" s="1222"/>
      <c r="C172" s="453"/>
      <c r="D172" s="328"/>
      <c r="E172" s="453"/>
      <c r="F172" s="453"/>
      <c r="G172" s="328"/>
      <c r="H172" s="453"/>
      <c r="I172" s="453"/>
      <c r="J172" s="453"/>
      <c r="K172" s="328"/>
      <c r="L172" s="1156"/>
      <c r="M172" s="328"/>
      <c r="N172" s="328"/>
      <c r="O172" s="23"/>
      <c r="P172" s="23"/>
      <c r="Q172" s="642"/>
      <c r="R172" s="642"/>
      <c r="S172" s="642"/>
      <c r="T172" s="328"/>
      <c r="U172" s="230"/>
      <c r="V172" s="230"/>
      <c r="W172" s="230"/>
      <c r="X172" s="866"/>
      <c r="Y172" s="866"/>
      <c r="Z172" s="230"/>
      <c r="AA172" s="230"/>
      <c r="AB172" s="230"/>
      <c r="AD172" s="230"/>
      <c r="AE172" s="265"/>
      <c r="AF172" s="265"/>
      <c r="AG172" s="230"/>
      <c r="AH172" s="230"/>
      <c r="AI172" s="265"/>
      <c r="AJ172" s="265"/>
    </row>
    <row r="173" spans="1:36" ht="15.6" thickTop="1" thickBot="1" x14ac:dyDescent="0.35">
      <c r="A173" s="1226" t="s">
        <v>428</v>
      </c>
      <c r="B173" s="1226"/>
      <c r="C173" s="319"/>
      <c r="D173" s="320"/>
      <c r="E173" s="319"/>
      <c r="F173" s="320"/>
      <c r="G173" s="320"/>
      <c r="H173" s="321" t="s">
        <v>60</v>
      </c>
      <c r="I173" s="458"/>
      <c r="J173" s="320"/>
      <c r="K173" s="320"/>
      <c r="L173" s="438"/>
      <c r="M173" s="320"/>
      <c r="N173" s="1094" t="s">
        <v>119</v>
      </c>
      <c r="O173" s="192"/>
      <c r="P173" s="192"/>
      <c r="Q173" s="642"/>
      <c r="R173" s="642"/>
      <c r="S173" s="642"/>
      <c r="T173" s="328"/>
      <c r="U173" s="230"/>
      <c r="V173" s="230"/>
      <c r="W173" s="230"/>
      <c r="X173" s="866"/>
      <c r="Y173" s="866"/>
      <c r="Z173" s="230"/>
      <c r="AA173" s="230"/>
      <c r="AB173" s="230"/>
      <c r="AD173" s="230"/>
      <c r="AE173" s="230"/>
      <c r="AF173" s="230"/>
      <c r="AG173" s="230"/>
      <c r="AH173" s="230"/>
      <c r="AI173" s="230"/>
      <c r="AJ173" s="230"/>
    </row>
    <row r="174" spans="1:36" ht="14.4" thickTop="1" x14ac:dyDescent="0.25">
      <c r="A174" s="1226" t="s">
        <v>329</v>
      </c>
      <c r="B174" s="1226"/>
      <c r="C174" s="319"/>
      <c r="D174" s="320"/>
      <c r="E174" s="319"/>
      <c r="F174" s="320"/>
      <c r="G174" s="320"/>
      <c r="H174" s="320"/>
      <c r="I174" s="320"/>
      <c r="J174" s="320"/>
      <c r="K174" s="320"/>
      <c r="L174" s="438"/>
      <c r="M174" s="310"/>
      <c r="N174" s="448"/>
      <c r="O174" s="198"/>
      <c r="P174" s="198"/>
      <c r="Q174" s="642"/>
      <c r="R174" s="642"/>
      <c r="S174" s="642"/>
      <c r="T174" s="328"/>
      <c r="U174" s="230"/>
      <c r="V174" s="230"/>
      <c r="W174" s="230"/>
      <c r="X174" s="866"/>
      <c r="Y174" s="866"/>
      <c r="Z174" s="230"/>
      <c r="AA174" s="230"/>
      <c r="AB174" s="230"/>
      <c r="AD174" s="230"/>
      <c r="AE174" s="230"/>
      <c r="AF174" s="230"/>
      <c r="AG174" s="230"/>
      <c r="AH174" s="230"/>
      <c r="AI174" s="230"/>
      <c r="AJ174" s="230"/>
    </row>
    <row r="175" spans="1:36" x14ac:dyDescent="0.25">
      <c r="A175" s="1226" t="s">
        <v>342</v>
      </c>
      <c r="B175" s="1226"/>
      <c r="C175" s="319"/>
      <c r="D175" s="320"/>
      <c r="E175" s="319"/>
      <c r="F175" s="320"/>
      <c r="G175" s="320"/>
      <c r="H175" s="320"/>
      <c r="I175" s="320"/>
      <c r="J175" s="320"/>
      <c r="K175" s="320"/>
      <c r="L175" s="438"/>
      <c r="M175" s="310"/>
      <c r="N175" s="448"/>
      <c r="Q175" s="642"/>
      <c r="R175" s="642"/>
      <c r="S175" s="642"/>
      <c r="T175" s="328"/>
      <c r="U175" s="230"/>
      <c r="V175" s="230"/>
      <c r="W175" s="230"/>
      <c r="X175" s="866"/>
      <c r="Y175" s="866"/>
      <c r="Z175" s="230"/>
      <c r="AA175" s="230"/>
      <c r="AB175" s="230"/>
      <c r="AD175" s="230"/>
      <c r="AE175" s="230"/>
      <c r="AF175" s="230"/>
      <c r="AG175" s="230"/>
      <c r="AH175" s="230"/>
      <c r="AI175" s="230"/>
      <c r="AJ175" s="230"/>
    </row>
    <row r="176" spans="1:36" x14ac:dyDescent="0.25">
      <c r="A176" s="1226" t="s">
        <v>343</v>
      </c>
      <c r="B176" s="1226"/>
      <c r="C176" s="319"/>
      <c r="D176" s="320"/>
      <c r="E176" s="319"/>
      <c r="F176" s="320"/>
      <c r="G176" s="320"/>
      <c r="H176" s="320"/>
      <c r="I176" s="320"/>
      <c r="J176" s="320"/>
      <c r="K176" s="320"/>
      <c r="L176" s="438"/>
      <c r="M176" s="310"/>
      <c r="N176" s="448"/>
      <c r="Q176" s="642"/>
      <c r="R176" s="642"/>
      <c r="S176" s="642"/>
      <c r="T176" s="328"/>
      <c r="U176" s="230"/>
      <c r="V176" s="230"/>
      <c r="W176" s="230"/>
      <c r="X176" s="866"/>
      <c r="Y176" s="866"/>
      <c r="Z176" s="230"/>
      <c r="AA176" s="230"/>
      <c r="AB176" s="230"/>
      <c r="AD176" s="230"/>
      <c r="AE176" s="230"/>
      <c r="AF176" s="230"/>
      <c r="AG176" s="230"/>
      <c r="AH176" s="230"/>
      <c r="AI176" s="230"/>
      <c r="AJ176" s="230"/>
    </row>
    <row r="177" spans="1:36" x14ac:dyDescent="0.25">
      <c r="A177" s="1226" t="s">
        <v>344</v>
      </c>
      <c r="B177" s="1226"/>
      <c r="C177" s="320"/>
      <c r="D177" s="320"/>
      <c r="E177" s="320"/>
      <c r="F177" s="459"/>
      <c r="G177" s="320"/>
      <c r="H177" s="320"/>
      <c r="I177" s="320"/>
      <c r="J177" s="459"/>
      <c r="K177" s="320"/>
      <c r="L177" s="438"/>
      <c r="M177" s="310"/>
      <c r="N177" s="448"/>
      <c r="Q177" s="642"/>
      <c r="R177" s="642"/>
      <c r="S177" s="642"/>
      <c r="T177" s="328"/>
      <c r="U177" s="230"/>
      <c r="V177" s="230"/>
      <c r="W177" s="230"/>
      <c r="X177" s="866"/>
      <c r="Y177" s="866"/>
      <c r="Z177" s="230"/>
      <c r="AA177" s="230"/>
      <c r="AB177" s="230"/>
      <c r="AD177" s="230"/>
      <c r="AE177" s="230"/>
      <c r="AF177" s="230"/>
      <c r="AG177" s="230"/>
      <c r="AH177" s="230"/>
      <c r="AI177" s="230"/>
      <c r="AJ177" s="230"/>
    </row>
    <row r="178" spans="1:36" x14ac:dyDescent="0.25">
      <c r="A178" s="319"/>
      <c r="B178" s="319"/>
      <c r="C178" s="320"/>
      <c r="D178" s="320"/>
      <c r="E178" s="320"/>
      <c r="F178" s="459"/>
      <c r="G178" s="320"/>
      <c r="H178" s="320"/>
      <c r="I178" s="320"/>
      <c r="J178" s="459"/>
      <c r="K178" s="1488" t="s">
        <v>230</v>
      </c>
      <c r="L178" s="1488"/>
      <c r="M178" s="1488"/>
      <c r="N178" s="631"/>
      <c r="O178" s="198"/>
      <c r="P178" s="1"/>
      <c r="Q178" s="642"/>
      <c r="R178" s="642"/>
      <c r="S178" s="1079"/>
      <c r="T178" s="328"/>
      <c r="U178" s="230"/>
      <c r="V178" s="230"/>
      <c r="W178" s="230"/>
      <c r="X178" s="866"/>
      <c r="Y178" s="866"/>
      <c r="Z178" s="230"/>
      <c r="AA178" s="230"/>
      <c r="AB178" s="230"/>
      <c r="AD178" s="230"/>
      <c r="AE178" s="230"/>
      <c r="AF178" s="230"/>
      <c r="AG178" s="230"/>
      <c r="AH178" s="230"/>
      <c r="AI178" s="230"/>
      <c r="AJ178" s="230"/>
    </row>
    <row r="179" spans="1:36" x14ac:dyDescent="0.25">
      <c r="A179" s="319"/>
      <c r="B179" s="319"/>
      <c r="C179" s="320"/>
      <c r="D179" s="320"/>
      <c r="E179" s="320"/>
      <c r="F179" s="459"/>
      <c r="G179" s="320"/>
      <c r="H179" s="320"/>
      <c r="I179" s="320"/>
      <c r="J179" s="459"/>
      <c r="K179" s="1230" t="s">
        <v>229</v>
      </c>
      <c r="L179" s="1229" t="s">
        <v>227</v>
      </c>
      <c r="M179" s="1230" t="s">
        <v>228</v>
      </c>
      <c r="N179" s="1224" t="s">
        <v>4</v>
      </c>
      <c r="O179" s="198"/>
      <c r="P179" s="1"/>
      <c r="Q179" s="642"/>
      <c r="R179" s="642"/>
      <c r="S179" s="1079"/>
      <c r="T179" s="328"/>
      <c r="U179" s="230"/>
      <c r="V179" s="230"/>
      <c r="W179" s="230"/>
      <c r="X179" s="866"/>
      <c r="Y179" s="866"/>
      <c r="Z179" s="230"/>
      <c r="AA179" s="230"/>
      <c r="AB179" s="230"/>
      <c r="AD179" s="230"/>
      <c r="AE179" s="230"/>
      <c r="AF179" s="230"/>
      <c r="AG179" s="230"/>
      <c r="AH179" s="230"/>
      <c r="AI179" s="230"/>
      <c r="AJ179" s="230"/>
    </row>
    <row r="180" spans="1:36" ht="14.4" x14ac:dyDescent="0.3">
      <c r="A180" s="319"/>
      <c r="B180" s="319"/>
      <c r="C180" s="320"/>
      <c r="D180" s="320"/>
      <c r="E180" s="320"/>
      <c r="F180" s="636" t="str">
        <f>IF(N180&gt;24999,"Note: Subaward has reached the 25K limit. If budget continues in future years, do not answer this question.", " ")</f>
        <v xml:space="preserve"> </v>
      </c>
      <c r="G180" s="320"/>
      <c r="H180" s="320"/>
      <c r="I180" s="320"/>
      <c r="J180" s="636"/>
      <c r="K180" s="633" t="s">
        <v>232</v>
      </c>
      <c r="L180" s="634"/>
      <c r="M180" s="634"/>
      <c r="N180" s="1405">
        <f>L180+M180</f>
        <v>0</v>
      </c>
      <c r="O180" s="173">
        <f>IF(N180&gt;25000, 25000-L180, M180)</f>
        <v>0</v>
      </c>
      <c r="P180" s="1"/>
      <c r="Q180" s="642"/>
      <c r="R180" s="642"/>
      <c r="S180" s="1079"/>
      <c r="T180" s="328"/>
      <c r="U180" s="230"/>
      <c r="V180" s="230"/>
      <c r="W180" s="230"/>
      <c r="X180" s="866"/>
      <c r="Y180" s="866"/>
      <c r="Z180" s="230"/>
      <c r="AA180" s="230"/>
      <c r="AB180" s="230"/>
      <c r="AD180" s="230"/>
      <c r="AE180" s="230"/>
      <c r="AF180" s="230"/>
      <c r="AG180" s="230"/>
      <c r="AH180" s="230"/>
      <c r="AI180" s="230"/>
      <c r="AJ180" s="230"/>
    </row>
    <row r="181" spans="1:36" ht="14.4" x14ac:dyDescent="0.3">
      <c r="A181" s="319"/>
      <c r="B181" s="319"/>
      <c r="C181" s="320"/>
      <c r="D181" s="320"/>
      <c r="E181" s="320"/>
      <c r="F181" s="636" t="str">
        <f>IF(N181&gt;24999,"Note: Subaward has reached the 25K limit. If budget continues in future years, do not answer this question.", " ")</f>
        <v xml:space="preserve"> </v>
      </c>
      <c r="G181" s="320"/>
      <c r="H181" s="320"/>
      <c r="I181" s="320"/>
      <c r="J181" s="636"/>
      <c r="K181" s="633" t="s">
        <v>233</v>
      </c>
      <c r="L181" s="634"/>
      <c r="M181" s="634"/>
      <c r="N181" s="1406">
        <f>L181+M181</f>
        <v>0</v>
      </c>
      <c r="O181" s="173">
        <f>IF(N181&gt;25000, 25000-L181, M181)</f>
        <v>0</v>
      </c>
      <c r="P181" s="1"/>
      <c r="Q181" s="642"/>
      <c r="R181" s="642"/>
      <c r="S181" s="1079"/>
      <c r="T181" s="328"/>
      <c r="U181" s="230"/>
      <c r="V181" s="230"/>
      <c r="W181" s="230"/>
      <c r="X181" s="866"/>
      <c r="Y181" s="866"/>
      <c r="Z181" s="230"/>
      <c r="AA181" s="230"/>
      <c r="AB181" s="230"/>
      <c r="AD181" s="230"/>
      <c r="AE181" s="230"/>
      <c r="AF181" s="230"/>
      <c r="AG181" s="230"/>
      <c r="AH181" s="230"/>
      <c r="AI181" s="230"/>
      <c r="AJ181" s="230"/>
    </row>
    <row r="182" spans="1:36" ht="14.4" hidden="1" x14ac:dyDescent="0.3">
      <c r="A182" s="172"/>
      <c r="B182" s="172"/>
      <c r="C182" s="67"/>
      <c r="D182" s="56"/>
      <c r="E182" s="67"/>
      <c r="F182" s="67"/>
      <c r="G182" s="56"/>
      <c r="H182" s="67"/>
      <c r="I182" s="67"/>
      <c r="J182" s="67"/>
      <c r="K182" s="23"/>
      <c r="L182" s="214"/>
      <c r="M182" s="197"/>
      <c r="N182" s="197"/>
      <c r="O182" s="213"/>
      <c r="P182" s="197"/>
      <c r="Q182" s="640"/>
      <c r="R182" s="642"/>
      <c r="S182" s="642"/>
      <c r="T182" s="328"/>
      <c r="U182" s="230"/>
      <c r="V182" s="230"/>
      <c r="W182" s="230"/>
      <c r="X182" s="866"/>
      <c r="Y182" s="866"/>
      <c r="Z182" s="230"/>
      <c r="AA182" s="230"/>
      <c r="AB182" s="230"/>
      <c r="AD182" s="230"/>
      <c r="AE182" s="265"/>
      <c r="AF182" s="265"/>
      <c r="AG182" s="230"/>
      <c r="AH182" s="230"/>
      <c r="AI182" s="265"/>
      <c r="AJ182" s="265"/>
    </row>
    <row r="183" spans="1:36" hidden="1" x14ac:dyDescent="0.25">
      <c r="A183" s="70"/>
      <c r="B183" s="70"/>
      <c r="C183" s="70"/>
      <c r="D183" s="70"/>
      <c r="E183" s="70"/>
      <c r="F183" s="70"/>
      <c r="G183" s="70"/>
      <c r="H183" s="70"/>
      <c r="I183" s="70"/>
      <c r="J183" s="70"/>
      <c r="K183" s="70"/>
      <c r="L183" s="70"/>
      <c r="M183" s="70"/>
      <c r="N183" s="88"/>
      <c r="O183" s="199"/>
      <c r="P183" s="199"/>
      <c r="Q183" s="642"/>
      <c r="R183" s="642"/>
      <c r="S183" s="642"/>
      <c r="T183" s="328"/>
      <c r="U183" s="230"/>
      <c r="V183" s="230"/>
      <c r="W183" s="230"/>
      <c r="X183" s="866"/>
      <c r="Y183" s="866"/>
      <c r="Z183" s="230"/>
      <c r="AA183" s="230"/>
      <c r="AB183" s="230"/>
      <c r="AD183" s="230"/>
      <c r="AE183" s="265"/>
      <c r="AF183" s="265"/>
      <c r="AG183" s="230"/>
      <c r="AH183" s="230"/>
      <c r="AI183" s="265"/>
      <c r="AJ183" s="265"/>
    </row>
    <row r="184" spans="1:36" hidden="1" x14ac:dyDescent="0.25">
      <c r="A184" s="70"/>
      <c r="B184" s="70"/>
      <c r="C184" s="70"/>
      <c r="D184" s="70"/>
      <c r="E184" s="70"/>
      <c r="F184" s="71"/>
      <c r="G184" s="70"/>
      <c r="H184" s="71"/>
      <c r="I184" s="71"/>
      <c r="J184" s="71"/>
      <c r="K184" s="71"/>
      <c r="L184" s="71"/>
      <c r="M184" s="89" t="s">
        <v>71</v>
      </c>
      <c r="N184" s="88">
        <f>SUM(N138:N163)+SUM(N170:N171)+SUM(O180:O181)</f>
        <v>0</v>
      </c>
      <c r="O184" s="199"/>
      <c r="P184" s="199"/>
      <c r="Q184" s="642"/>
      <c r="R184" s="642"/>
      <c r="S184" s="642"/>
      <c r="T184" s="328"/>
      <c r="U184" s="230"/>
      <c r="V184" s="230"/>
      <c r="W184" s="230"/>
      <c r="X184" s="866"/>
      <c r="Y184" s="866"/>
      <c r="Z184" s="230"/>
      <c r="AA184" s="230"/>
      <c r="AB184" s="230"/>
      <c r="AD184" s="230"/>
      <c r="AE184" s="265"/>
      <c r="AF184" s="265"/>
      <c r="AG184" s="230"/>
      <c r="AH184" s="230"/>
      <c r="AI184" s="265"/>
      <c r="AJ184" s="265"/>
    </row>
    <row r="185" spans="1:36" s="13" customFormat="1" ht="14.4" thickBot="1" x14ac:dyDescent="0.3">
      <c r="A185" s="453"/>
      <c r="B185" s="453"/>
      <c r="C185" s="453"/>
      <c r="D185" s="328"/>
      <c r="E185" s="453"/>
      <c r="F185" s="328"/>
      <c r="G185" s="328"/>
      <c r="H185" s="328"/>
      <c r="I185" s="328"/>
      <c r="J185" s="328"/>
      <c r="K185" s="328"/>
      <c r="L185" s="328"/>
      <c r="M185" s="328"/>
      <c r="N185" s="443"/>
      <c r="O185" s="90"/>
      <c r="P185" s="90"/>
      <c r="Q185" s="640"/>
      <c r="R185" s="640"/>
      <c r="S185" s="640"/>
      <c r="T185" s="328"/>
      <c r="U185" s="326"/>
      <c r="V185" s="326"/>
      <c r="W185" s="326"/>
      <c r="X185" s="326"/>
      <c r="Y185" s="326"/>
      <c r="Z185" s="326"/>
      <c r="AA185" s="326"/>
      <c r="AB185" s="326"/>
      <c r="AD185" s="326"/>
      <c r="AE185" s="510"/>
      <c r="AF185" s="510"/>
      <c r="AG185" s="326"/>
      <c r="AH185" s="326"/>
      <c r="AI185" s="510"/>
      <c r="AJ185" s="510"/>
    </row>
    <row r="186" spans="1:36" ht="15" thickTop="1" thickBot="1" x14ac:dyDescent="0.3">
      <c r="A186" s="1226" t="s">
        <v>377</v>
      </c>
      <c r="B186" s="1226"/>
      <c r="C186" s="319"/>
      <c r="D186" s="320"/>
      <c r="E186" s="319"/>
      <c r="F186" s="320"/>
      <c r="G186" s="320"/>
      <c r="H186" s="320"/>
      <c r="I186" s="320"/>
      <c r="J186" s="320"/>
      <c r="K186" s="320"/>
      <c r="L186" s="321" t="s">
        <v>60</v>
      </c>
      <c r="M186" s="320"/>
      <c r="N186" s="1094" t="s">
        <v>273</v>
      </c>
      <c r="O186" s="23"/>
      <c r="P186" s="23"/>
      <c r="Q186" s="642"/>
      <c r="R186" s="642"/>
      <c r="S186" s="642"/>
      <c r="T186" s="328"/>
      <c r="U186" s="230"/>
      <c r="V186" s="230"/>
      <c r="W186" s="230"/>
      <c r="X186" s="866"/>
      <c r="Y186" s="866"/>
      <c r="Z186" s="230"/>
      <c r="AA186" s="230"/>
      <c r="AB186" s="230"/>
      <c r="AD186" s="230"/>
      <c r="AE186" s="265"/>
      <c r="AF186" s="265"/>
      <c r="AG186" s="230"/>
      <c r="AH186" s="230"/>
      <c r="AI186" s="265"/>
      <c r="AJ186" s="265"/>
    </row>
    <row r="187" spans="1:36" ht="27.75" customHeight="1" thickTop="1" x14ac:dyDescent="0.25">
      <c r="A187" s="1226" t="s">
        <v>336</v>
      </c>
      <c r="B187" s="1226"/>
      <c r="C187" s="319"/>
      <c r="D187" s="320"/>
      <c r="E187" s="319"/>
      <c r="F187" s="320"/>
      <c r="G187" s="320"/>
      <c r="H187" s="320"/>
      <c r="I187" s="320"/>
      <c r="J187" s="320"/>
      <c r="K187" s="320"/>
      <c r="L187" s="320"/>
      <c r="M187" s="320"/>
      <c r="N187" s="438"/>
      <c r="O187" s="90"/>
      <c r="P187" s="90"/>
      <c r="Q187" s="642"/>
      <c r="R187" s="642"/>
      <c r="S187" s="642"/>
      <c r="T187" s="328"/>
      <c r="U187" s="230"/>
      <c r="V187" s="230"/>
      <c r="W187" s="230"/>
      <c r="X187" s="866"/>
      <c r="Y187" s="866"/>
      <c r="Z187" s="230"/>
      <c r="AA187" s="230"/>
      <c r="AB187" s="230"/>
      <c r="AD187" s="230"/>
      <c r="AE187" s="265"/>
      <c r="AF187" s="265"/>
      <c r="AG187" s="230"/>
      <c r="AH187" s="230"/>
      <c r="AI187" s="265"/>
      <c r="AJ187" s="265"/>
    </row>
    <row r="188" spans="1:36" x14ac:dyDescent="0.25">
      <c r="A188" s="1232" t="s">
        <v>345</v>
      </c>
      <c r="B188" s="1232"/>
      <c r="C188" s="319"/>
      <c r="D188" s="320"/>
      <c r="E188" s="319"/>
      <c r="F188" s="320"/>
      <c r="G188" s="320"/>
      <c r="H188" s="320"/>
      <c r="I188" s="320"/>
      <c r="J188" s="320"/>
      <c r="K188" s="320"/>
      <c r="L188" s="320"/>
      <c r="M188" s="320"/>
      <c r="N188" s="320"/>
      <c r="Q188" s="642"/>
      <c r="R188" s="642"/>
      <c r="S188" s="642"/>
      <c r="T188" s="328"/>
      <c r="U188" s="230"/>
      <c r="V188" s="230"/>
      <c r="W188" s="230"/>
      <c r="X188" s="866"/>
      <c r="Y188" s="866"/>
      <c r="Z188" s="230"/>
      <c r="AA188" s="230"/>
      <c r="AB188" s="230"/>
      <c r="AD188" s="230"/>
      <c r="AE188" s="265"/>
      <c r="AF188" s="265"/>
      <c r="AG188" s="230"/>
      <c r="AH188" s="230"/>
      <c r="AI188" s="265"/>
      <c r="AJ188" s="265"/>
    </row>
    <row r="189" spans="1:36" ht="18" customHeight="1" x14ac:dyDescent="0.25">
      <c r="A189" s="1231" t="s">
        <v>346</v>
      </c>
      <c r="B189" s="1231"/>
      <c r="C189" s="319"/>
      <c r="D189" s="320"/>
      <c r="E189" s="319"/>
      <c r="F189" s="320"/>
      <c r="G189" s="320"/>
      <c r="H189" s="320"/>
      <c r="I189" s="320"/>
      <c r="J189" s="320"/>
      <c r="K189" s="320"/>
      <c r="L189" s="320"/>
      <c r="M189" s="320"/>
      <c r="N189" s="320"/>
      <c r="Q189" s="642"/>
      <c r="R189" s="642"/>
      <c r="S189" s="642"/>
      <c r="T189" s="328"/>
      <c r="U189" s="230"/>
      <c r="V189" s="230"/>
      <c r="W189" s="230"/>
      <c r="X189" s="866"/>
      <c r="Y189" s="866"/>
      <c r="Z189" s="230"/>
      <c r="AA189" s="230"/>
      <c r="AB189" s="230"/>
      <c r="AD189" s="230"/>
      <c r="AE189" s="265"/>
      <c r="AF189" s="265"/>
      <c r="AG189" s="230"/>
      <c r="AH189" s="230"/>
      <c r="AI189" s="265"/>
      <c r="AJ189" s="265"/>
    </row>
    <row r="190" spans="1:36" ht="18" customHeight="1" x14ac:dyDescent="0.25">
      <c r="A190" s="1233" t="s">
        <v>335</v>
      </c>
      <c r="B190" s="1233"/>
      <c r="C190" s="319"/>
      <c r="D190" s="320"/>
      <c r="E190" s="319"/>
      <c r="F190" s="320"/>
      <c r="G190" s="320"/>
      <c r="H190" s="320"/>
      <c r="I190" s="320"/>
      <c r="J190" s="320"/>
      <c r="K190" s="320"/>
      <c r="L190" s="320"/>
      <c r="M190" s="320"/>
      <c r="N190" s="320"/>
      <c r="Q190" s="642"/>
      <c r="R190" s="642"/>
      <c r="S190" s="642"/>
      <c r="T190" s="328"/>
      <c r="U190" s="230"/>
      <c r="V190" s="230"/>
      <c r="W190" s="230"/>
      <c r="X190" s="866"/>
      <c r="Y190" s="866"/>
      <c r="Z190" s="230"/>
      <c r="AA190" s="230"/>
      <c r="AB190" s="230"/>
      <c r="AD190" s="230"/>
      <c r="AE190" s="265"/>
      <c r="AF190" s="265"/>
      <c r="AG190" s="230"/>
      <c r="AH190" s="230"/>
      <c r="AI190" s="265"/>
      <c r="AJ190" s="265"/>
    </row>
    <row r="191" spans="1:36" ht="17.25" customHeight="1" thickBot="1" x14ac:dyDescent="0.3">
      <c r="A191" s="453"/>
      <c r="B191" s="453"/>
      <c r="C191" s="453"/>
      <c r="D191" s="328"/>
      <c r="E191" s="453"/>
      <c r="F191" s="328"/>
      <c r="G191" s="328"/>
      <c r="H191" s="328"/>
      <c r="I191" s="328"/>
      <c r="J191" s="328"/>
      <c r="K191" s="328"/>
      <c r="L191" s="328"/>
      <c r="M191" s="328"/>
      <c r="N191" s="443"/>
      <c r="O191" s="90"/>
      <c r="P191" s="90"/>
      <c r="Q191" s="642"/>
      <c r="R191" s="642"/>
      <c r="S191" s="642"/>
      <c r="T191" s="328"/>
      <c r="U191" s="230"/>
      <c r="V191" s="230"/>
      <c r="W191" s="230"/>
      <c r="X191" s="866"/>
      <c r="Y191" s="866"/>
      <c r="Z191" s="230"/>
      <c r="AA191" s="230"/>
      <c r="AB191" s="230"/>
      <c r="AD191" s="230"/>
      <c r="AE191" s="265"/>
      <c r="AF191" s="265"/>
      <c r="AG191" s="230"/>
      <c r="AH191" s="230"/>
      <c r="AI191" s="265"/>
      <c r="AJ191" s="265"/>
    </row>
    <row r="192" spans="1:36" ht="15" thickTop="1" thickBot="1" x14ac:dyDescent="0.3">
      <c r="A192" s="1226" t="s">
        <v>378</v>
      </c>
      <c r="B192" s="1226"/>
      <c r="C192" s="319"/>
      <c r="D192" s="320"/>
      <c r="E192" s="319"/>
      <c r="F192" s="321" t="s">
        <v>60</v>
      </c>
      <c r="G192" s="320"/>
      <c r="H192" s="459"/>
      <c r="I192" s="459"/>
      <c r="J192" s="459"/>
      <c r="K192" s="459"/>
      <c r="L192" s="321" t="s">
        <v>60</v>
      </c>
      <c r="M192" s="320"/>
      <c r="N192" s="1094" t="s">
        <v>274</v>
      </c>
      <c r="O192" s="192"/>
      <c r="P192" s="192"/>
      <c r="Q192" s="642"/>
      <c r="R192" s="642"/>
      <c r="S192" s="642"/>
      <c r="T192" s="328"/>
      <c r="U192" s="230"/>
      <c r="V192" s="230"/>
      <c r="W192" s="230"/>
      <c r="X192" s="866"/>
      <c r="Y192" s="866"/>
      <c r="Z192" s="230"/>
      <c r="AA192" s="230"/>
      <c r="AB192" s="230"/>
      <c r="AD192" s="230"/>
      <c r="AE192" s="265"/>
      <c r="AF192" s="265"/>
      <c r="AG192" s="230"/>
      <c r="AH192" s="230"/>
      <c r="AI192" s="265"/>
      <c r="AJ192" s="265"/>
    </row>
    <row r="193" spans="1:36" ht="14.4" thickTop="1" x14ac:dyDescent="0.25">
      <c r="A193" s="1234" t="s">
        <v>206</v>
      </c>
      <c r="B193" s="1234"/>
      <c r="C193" s="464"/>
      <c r="D193" s="459"/>
      <c r="E193" s="464"/>
      <c r="F193" s="459"/>
      <c r="G193" s="459"/>
      <c r="H193" s="459"/>
      <c r="I193" s="459"/>
      <c r="J193" s="459"/>
      <c r="K193" s="459"/>
      <c r="L193" s="459"/>
      <c r="M193" s="459"/>
      <c r="N193" s="311"/>
      <c r="O193" s="192"/>
      <c r="P193" s="192"/>
      <c r="Q193" s="642"/>
      <c r="R193" s="642"/>
      <c r="S193" s="642"/>
      <c r="T193" s="328"/>
      <c r="U193" s="230"/>
      <c r="V193" s="230"/>
      <c r="W193" s="230"/>
      <c r="X193" s="866"/>
      <c r="Y193" s="866"/>
      <c r="Z193" s="230"/>
      <c r="AA193" s="230"/>
      <c r="AB193" s="230"/>
      <c r="AD193" s="230"/>
      <c r="AE193" s="265"/>
      <c r="AF193" s="265"/>
      <c r="AG193" s="230"/>
      <c r="AH193" s="230"/>
      <c r="AI193" s="265"/>
      <c r="AJ193" s="265"/>
    </row>
    <row r="194" spans="1:36" s="867" customFormat="1" ht="14.4" thickBot="1" x14ac:dyDescent="0.3">
      <c r="A194" s="453"/>
      <c r="B194" s="453"/>
      <c r="C194" s="453"/>
      <c r="D194" s="328"/>
      <c r="E194" s="453"/>
      <c r="F194" s="328"/>
      <c r="G194" s="328"/>
      <c r="H194" s="328"/>
      <c r="I194" s="328"/>
      <c r="J194" s="328"/>
      <c r="K194" s="328"/>
      <c r="L194" s="328"/>
      <c r="M194" s="328"/>
      <c r="N194" s="443"/>
      <c r="O194" s="192"/>
      <c r="P194" s="192"/>
      <c r="Q194" s="642"/>
      <c r="R194" s="642"/>
      <c r="S194" s="642"/>
      <c r="T194" s="328"/>
      <c r="U194" s="866"/>
      <c r="V194" s="866"/>
      <c r="W194" s="866"/>
      <c r="X194" s="866"/>
      <c r="Y194" s="866"/>
      <c r="Z194" s="866"/>
      <c r="AA194" s="866"/>
      <c r="AB194" s="866"/>
      <c r="AD194" s="866"/>
      <c r="AE194" s="868"/>
      <c r="AF194" s="868"/>
      <c r="AG194" s="866"/>
      <c r="AH194" s="866"/>
      <c r="AI194" s="868"/>
      <c r="AJ194" s="868"/>
    </row>
    <row r="195" spans="1:36" ht="16.2" customHeight="1" thickTop="1" thickBot="1" x14ac:dyDescent="0.3">
      <c r="A195" s="1093" t="s">
        <v>583</v>
      </c>
      <c r="B195" s="1093"/>
      <c r="C195" s="438"/>
      <c r="D195" s="438"/>
      <c r="E195" s="438"/>
      <c r="F195" s="438"/>
      <c r="G195" s="438"/>
      <c r="H195" s="438"/>
      <c r="I195" s="438"/>
      <c r="J195" s="438"/>
      <c r="K195" s="438"/>
      <c r="L195" s="321" t="s">
        <v>60</v>
      </c>
      <c r="M195" s="438"/>
      <c r="N195" s="311" t="s">
        <v>559</v>
      </c>
      <c r="O195" s="90"/>
      <c r="P195" s="90"/>
      <c r="Q195" s="642"/>
      <c r="R195" s="642"/>
      <c r="S195" s="642"/>
      <c r="T195" s="328"/>
      <c r="U195" s="230"/>
      <c r="V195" s="230"/>
      <c r="W195" s="230"/>
      <c r="X195" s="866"/>
      <c r="Y195" s="866"/>
      <c r="Z195" s="230"/>
      <c r="AA195" s="230"/>
      <c r="AB195" s="230"/>
      <c r="AD195" s="230"/>
      <c r="AE195" s="265"/>
      <c r="AF195" s="265"/>
      <c r="AG195" s="230"/>
      <c r="AH195" s="230"/>
      <c r="AI195" s="265"/>
      <c r="AJ195" s="265"/>
    </row>
    <row r="196" spans="1:36" ht="16.5" customHeight="1" thickTop="1" x14ac:dyDescent="0.25">
      <c r="A196" s="1093" t="s">
        <v>586</v>
      </c>
      <c r="B196" s="1093"/>
      <c r="C196" s="438"/>
      <c r="D196" s="438"/>
      <c r="E196" s="438"/>
      <c r="F196" s="438"/>
      <c r="G196" s="438"/>
      <c r="H196" s="438"/>
      <c r="I196" s="438"/>
      <c r="J196" s="438"/>
      <c r="K196" s="439"/>
      <c r="L196" s="438"/>
      <c r="M196" s="438"/>
      <c r="N196" s="320"/>
      <c r="O196" s="23"/>
      <c r="P196" s="23"/>
      <c r="Q196" s="642"/>
      <c r="R196" s="642"/>
      <c r="S196" s="642"/>
      <c r="T196" s="328"/>
      <c r="U196" s="230"/>
      <c r="V196" s="230"/>
      <c r="W196" s="230"/>
      <c r="X196" s="866"/>
      <c r="Y196" s="866"/>
      <c r="Z196" s="230"/>
      <c r="AA196" s="230"/>
      <c r="AB196" s="230"/>
      <c r="AD196" s="230"/>
      <c r="AE196" s="265"/>
      <c r="AF196" s="265"/>
      <c r="AG196" s="230"/>
      <c r="AH196" s="230"/>
      <c r="AI196" s="265"/>
      <c r="AJ196" s="265"/>
    </row>
    <row r="197" spans="1:36" s="867" customFormat="1" ht="16.5" customHeight="1" x14ac:dyDescent="0.25">
      <c r="A197" s="1093" t="s">
        <v>585</v>
      </c>
      <c r="B197" s="1093"/>
      <c r="C197" s="438"/>
      <c r="D197" s="438"/>
      <c r="E197" s="438"/>
      <c r="F197" s="438"/>
      <c r="G197" s="438"/>
      <c r="H197" s="438"/>
      <c r="I197" s="438"/>
      <c r="J197" s="438"/>
      <c r="K197" s="439"/>
      <c r="L197" s="438"/>
      <c r="M197" s="438"/>
      <c r="N197" s="320"/>
      <c r="O197" s="23"/>
      <c r="P197" s="23"/>
      <c r="Q197" s="642"/>
      <c r="R197" s="642"/>
      <c r="S197" s="642"/>
      <c r="T197" s="328"/>
      <c r="U197" s="866"/>
      <c r="V197" s="866"/>
      <c r="W197" s="866"/>
      <c r="X197" s="866"/>
      <c r="Y197" s="866"/>
      <c r="Z197" s="866"/>
      <c r="AA197" s="866"/>
      <c r="AB197" s="866"/>
      <c r="AD197" s="866"/>
      <c r="AE197" s="868"/>
      <c r="AF197" s="868"/>
      <c r="AG197" s="866"/>
      <c r="AH197" s="866"/>
      <c r="AI197" s="868"/>
      <c r="AJ197" s="868"/>
    </row>
    <row r="198" spans="1:36" ht="16.5" customHeight="1" x14ac:dyDescent="0.25">
      <c r="A198" s="1093" t="s">
        <v>604</v>
      </c>
      <c r="B198" s="438"/>
      <c r="C198" s="438"/>
      <c r="D198" s="438"/>
      <c r="E198" s="438"/>
      <c r="F198" s="438"/>
      <c r="G198" s="438"/>
      <c r="H198" s="438"/>
      <c r="I198" s="438"/>
      <c r="J198" s="438"/>
      <c r="K198" s="439"/>
      <c r="L198" s="438"/>
      <c r="M198" s="438"/>
      <c r="N198" s="320"/>
      <c r="O198" s="23"/>
      <c r="P198" s="23"/>
      <c r="Q198" s="642"/>
      <c r="R198" s="642"/>
      <c r="S198" s="642"/>
      <c r="T198" s="328"/>
      <c r="U198" s="230"/>
      <c r="V198" s="230"/>
      <c r="W198" s="230"/>
      <c r="X198" s="866"/>
      <c r="Y198" s="866"/>
      <c r="Z198" s="230"/>
      <c r="AA198" s="230"/>
      <c r="AB198" s="230"/>
      <c r="AD198" s="230"/>
      <c r="AE198" s="265"/>
      <c r="AF198" s="265"/>
      <c r="AG198" s="230"/>
      <c r="AH198" s="230"/>
      <c r="AI198" s="265"/>
      <c r="AJ198" s="265"/>
    </row>
    <row r="199" spans="1:36" s="867" customFormat="1" ht="16.5" customHeight="1" x14ac:dyDescent="0.25">
      <c r="A199" s="1093" t="s">
        <v>584</v>
      </c>
      <c r="B199" s="1093"/>
      <c r="C199" s="438"/>
      <c r="D199" s="438"/>
      <c r="E199" s="438"/>
      <c r="F199" s="438"/>
      <c r="G199" s="438"/>
      <c r="H199" s="438"/>
      <c r="I199" s="438"/>
      <c r="J199" s="438"/>
      <c r="K199" s="439"/>
      <c r="L199" s="438"/>
      <c r="M199" s="438"/>
      <c r="N199" s="320"/>
      <c r="O199" s="23"/>
      <c r="P199" s="23"/>
      <c r="Q199" s="642"/>
      <c r="R199" s="642"/>
      <c r="S199" s="642"/>
      <c r="T199" s="328"/>
      <c r="U199" s="866"/>
      <c r="V199" s="866"/>
      <c r="W199" s="866"/>
      <c r="X199" s="866"/>
      <c r="Y199" s="866"/>
      <c r="Z199" s="866"/>
      <c r="AA199" s="866"/>
      <c r="AB199" s="866"/>
      <c r="AD199" s="866"/>
      <c r="AE199" s="868"/>
      <c r="AF199" s="868"/>
      <c r="AG199" s="866"/>
      <c r="AH199" s="866"/>
      <c r="AI199" s="868"/>
      <c r="AJ199" s="868"/>
    </row>
    <row r="200" spans="1:36" x14ac:dyDescent="0.25">
      <c r="A200" s="465"/>
      <c r="B200" s="465"/>
      <c r="C200" s="465"/>
      <c r="D200" s="465"/>
      <c r="E200" s="465"/>
      <c r="F200" s="465"/>
      <c r="G200" s="465"/>
      <c r="H200" s="465"/>
      <c r="I200" s="465"/>
      <c r="J200" s="465"/>
      <c r="K200" s="325"/>
      <c r="L200" s="325"/>
      <c r="M200" s="466"/>
      <c r="N200" s="466"/>
      <c r="O200" s="200"/>
      <c r="P200" s="200"/>
      <c r="Q200" s="642"/>
      <c r="R200" s="642"/>
      <c r="S200" s="642"/>
      <c r="T200" s="328"/>
      <c r="U200" s="230"/>
      <c r="V200" s="230"/>
      <c r="W200" s="230"/>
      <c r="X200" s="866"/>
      <c r="Y200" s="866"/>
      <c r="Z200" s="230"/>
      <c r="AA200" s="230"/>
      <c r="AB200" s="230"/>
      <c r="AD200" s="230"/>
      <c r="AE200" s="265"/>
      <c r="AF200" s="265"/>
      <c r="AG200" s="230"/>
      <c r="AH200" s="230"/>
      <c r="AI200" s="265"/>
      <c r="AJ200" s="265"/>
    </row>
    <row r="201" spans="1:36" ht="15" hidden="1" thickTop="1" thickBot="1" x14ac:dyDescent="0.3">
      <c r="A201" s="319" t="s">
        <v>379</v>
      </c>
      <c r="B201" s="319"/>
      <c r="C201" s="320"/>
      <c r="D201" s="320"/>
      <c r="E201" s="320"/>
      <c r="F201" s="320"/>
      <c r="G201" s="320"/>
      <c r="H201" s="320"/>
      <c r="I201" s="320"/>
      <c r="J201" s="320"/>
      <c r="K201" s="320"/>
      <c r="L201" s="321" t="s">
        <v>60</v>
      </c>
      <c r="M201" s="320"/>
      <c r="N201" s="311" t="s">
        <v>275</v>
      </c>
      <c r="O201" s="23"/>
      <c r="P201" s="23"/>
      <c r="Q201" s="642"/>
      <c r="R201" s="642"/>
      <c r="S201" s="642"/>
      <c r="T201" s="328"/>
      <c r="U201" s="230"/>
      <c r="V201" s="230"/>
      <c r="W201" s="230"/>
      <c r="X201" s="866"/>
      <c r="Y201" s="866"/>
      <c r="Z201" s="230"/>
      <c r="AA201" s="230"/>
      <c r="AB201" s="230"/>
      <c r="AD201" s="230"/>
      <c r="AE201" s="265"/>
      <c r="AF201" s="265"/>
      <c r="AG201" s="230"/>
      <c r="AH201" s="230"/>
      <c r="AI201" s="265"/>
      <c r="AJ201" s="265"/>
    </row>
    <row r="202" spans="1:36" ht="15" hidden="1" thickTop="1" thickBot="1" x14ac:dyDescent="0.3">
      <c r="A202" s="319" t="s">
        <v>211</v>
      </c>
      <c r="B202" s="319"/>
      <c r="C202" s="319"/>
      <c r="D202" s="320"/>
      <c r="E202" s="319"/>
      <c r="F202" s="320"/>
      <c r="G202" s="320"/>
      <c r="H202" s="320"/>
      <c r="I202" s="320"/>
      <c r="J202" s="320"/>
      <c r="K202" s="309"/>
      <c r="L202" s="320"/>
      <c r="M202" s="321" t="s">
        <v>59</v>
      </c>
      <c r="N202" s="320"/>
      <c r="O202" s="19"/>
      <c r="P202" s="19"/>
      <c r="Q202" s="642"/>
      <c r="R202" s="642"/>
      <c r="S202" s="642"/>
      <c r="T202" s="328"/>
      <c r="U202" s="230"/>
      <c r="V202" s="230"/>
      <c r="W202" s="230"/>
      <c r="X202" s="866"/>
      <c r="Y202" s="866"/>
      <c r="Z202" s="230"/>
      <c r="AA202" s="230"/>
      <c r="AB202" s="230"/>
      <c r="AD202" s="230"/>
      <c r="AE202" s="265"/>
      <c r="AF202" s="265"/>
      <c r="AG202" s="230"/>
      <c r="AH202" s="230"/>
      <c r="AI202" s="265"/>
      <c r="AJ202" s="265"/>
    </row>
    <row r="203" spans="1:36" ht="14.4" hidden="1" thickTop="1" x14ac:dyDescent="0.25">
      <c r="A203" s="322" t="s">
        <v>446</v>
      </c>
      <c r="B203" s="322"/>
      <c r="C203" s="323"/>
      <c r="D203" s="323"/>
      <c r="E203" s="323"/>
      <c r="F203" s="323"/>
      <c r="G203" s="323"/>
      <c r="H203" s="323"/>
      <c r="I203" s="323"/>
      <c r="J203" s="323"/>
      <c r="K203" s="323"/>
      <c r="L203" s="322"/>
      <c r="M203" s="320"/>
      <c r="N203" s="320"/>
      <c r="O203" s="23"/>
      <c r="P203" s="23"/>
      <c r="Q203" s="642"/>
      <c r="R203" s="642"/>
      <c r="S203" s="642"/>
      <c r="T203" s="328"/>
      <c r="U203" s="230"/>
      <c r="V203" s="230"/>
      <c r="W203" s="230"/>
      <c r="X203" s="866"/>
      <c r="Y203" s="866"/>
      <c r="Z203" s="230"/>
      <c r="AA203" s="230"/>
      <c r="AB203" s="230"/>
      <c r="AD203" s="230"/>
      <c r="AE203" s="265"/>
      <c r="AF203" s="265"/>
      <c r="AG203" s="230"/>
      <c r="AH203" s="230"/>
      <c r="AI203" s="265"/>
      <c r="AJ203" s="265"/>
    </row>
    <row r="204" spans="1:36" hidden="1" x14ac:dyDescent="0.25">
      <c r="A204" s="68"/>
      <c r="B204" s="68"/>
      <c r="C204" s="68"/>
      <c r="D204" s="68"/>
      <c r="E204" s="68"/>
      <c r="F204" s="68"/>
      <c r="G204" s="68"/>
      <c r="H204" s="68"/>
      <c r="I204" s="68"/>
      <c r="J204" s="68"/>
      <c r="K204" s="68"/>
      <c r="L204" s="68"/>
      <c r="M204" s="130" t="s">
        <v>198</v>
      </c>
      <c r="N204" s="68"/>
      <c r="O204" s="23"/>
      <c r="P204" s="23"/>
      <c r="Q204" s="642"/>
      <c r="R204" s="642"/>
      <c r="S204" s="642"/>
      <c r="T204" s="328"/>
      <c r="U204" s="230"/>
      <c r="V204" s="230"/>
      <c r="W204" s="230"/>
      <c r="X204" s="866"/>
      <c r="Y204" s="866"/>
      <c r="Z204" s="230"/>
      <c r="AA204" s="230"/>
      <c r="AB204" s="230"/>
      <c r="AD204" s="230"/>
      <c r="AE204" s="265"/>
      <c r="AF204" s="265"/>
      <c r="AG204" s="230"/>
      <c r="AH204" s="230"/>
      <c r="AI204" s="265"/>
      <c r="AJ204" s="265"/>
    </row>
    <row r="205" spans="1:36" hidden="1" x14ac:dyDescent="0.25">
      <c r="A205" s="68"/>
      <c r="B205" s="68"/>
      <c r="C205" s="68"/>
      <c r="D205" s="68"/>
      <c r="E205" s="68"/>
      <c r="F205" s="68"/>
      <c r="G205" s="68"/>
      <c r="H205" s="68"/>
      <c r="I205" s="68"/>
      <c r="J205" s="68"/>
      <c r="K205" s="68"/>
      <c r="L205" s="68"/>
      <c r="M205" s="131">
        <v>0.69499999999999995</v>
      </c>
      <c r="N205" s="68"/>
      <c r="O205" s="23"/>
      <c r="P205" s="23"/>
      <c r="Q205" s="642"/>
      <c r="R205" s="642"/>
      <c r="S205" s="642"/>
      <c r="T205" s="328"/>
      <c r="U205" s="230"/>
      <c r="V205" s="230"/>
      <c r="W205" s="230"/>
      <c r="X205" s="866"/>
      <c r="Y205" s="866"/>
      <c r="Z205" s="230"/>
      <c r="AA205" s="230"/>
      <c r="AB205" s="230"/>
      <c r="AD205" s="230"/>
      <c r="AE205" s="265"/>
      <c r="AF205" s="265"/>
      <c r="AG205" s="230"/>
      <c r="AH205" s="230"/>
      <c r="AI205" s="265"/>
      <c r="AJ205" s="265"/>
    </row>
    <row r="206" spans="1:36" hidden="1" x14ac:dyDescent="0.25">
      <c r="A206" s="68"/>
      <c r="B206" s="68"/>
      <c r="C206" s="68"/>
      <c r="D206" s="68"/>
      <c r="E206" s="68"/>
      <c r="F206" s="68"/>
      <c r="G206" s="68"/>
      <c r="H206" s="68"/>
      <c r="I206" s="68"/>
      <c r="J206" s="68"/>
      <c r="K206" s="68"/>
      <c r="L206" s="68"/>
      <c r="M206" s="131">
        <v>0.34</v>
      </c>
      <c r="N206" s="68"/>
      <c r="O206" s="23"/>
      <c r="P206" s="23"/>
      <c r="Q206" s="642"/>
      <c r="R206" s="642"/>
      <c r="S206" s="642"/>
      <c r="T206" s="328"/>
      <c r="U206" s="230"/>
      <c r="V206" s="230"/>
      <c r="W206" s="230"/>
      <c r="X206" s="866"/>
      <c r="Y206" s="866"/>
      <c r="Z206" s="230"/>
      <c r="AA206" s="230"/>
      <c r="AB206" s="230"/>
      <c r="AD206" s="230"/>
      <c r="AE206" s="265"/>
      <c r="AF206" s="265"/>
      <c r="AG206" s="230"/>
      <c r="AH206" s="230"/>
      <c r="AI206" s="265"/>
      <c r="AJ206" s="265"/>
    </row>
    <row r="207" spans="1:36" ht="14.4" hidden="1" thickBot="1" x14ac:dyDescent="0.3">
      <c r="A207" s="68"/>
      <c r="B207" s="68"/>
      <c r="C207" s="68"/>
      <c r="D207" s="68"/>
      <c r="E207" s="68"/>
      <c r="F207" s="68"/>
      <c r="G207" s="68"/>
      <c r="H207" s="68"/>
      <c r="I207" s="68"/>
      <c r="J207" s="68"/>
      <c r="K207" s="68"/>
      <c r="L207" s="68"/>
      <c r="M207" s="131">
        <v>0.41</v>
      </c>
      <c r="N207" s="68"/>
      <c r="O207" s="23"/>
      <c r="P207" s="23"/>
      <c r="Q207" s="642"/>
      <c r="R207" s="642"/>
      <c r="S207" s="642"/>
      <c r="T207" s="328"/>
      <c r="U207" s="230"/>
      <c r="V207" s="230"/>
      <c r="W207" s="230"/>
      <c r="X207" s="866"/>
      <c r="Y207" s="866"/>
      <c r="Z207" s="230"/>
      <c r="AA207" s="230"/>
      <c r="AB207" s="230"/>
      <c r="AD207" s="230"/>
      <c r="AE207" s="265"/>
      <c r="AF207" s="265"/>
      <c r="AG207" s="230"/>
      <c r="AH207" s="230"/>
      <c r="AI207" s="265"/>
      <c r="AJ207" s="265"/>
    </row>
    <row r="208" spans="1:36" ht="15" hidden="1" thickTop="1" thickBot="1" x14ac:dyDescent="0.3">
      <c r="A208" s="323"/>
      <c r="B208" s="323"/>
      <c r="C208" s="323"/>
      <c r="D208" s="323"/>
      <c r="E208" s="323"/>
      <c r="F208" s="323"/>
      <c r="G208" s="323"/>
      <c r="H208" s="323"/>
      <c r="I208" s="323"/>
      <c r="J208" s="323"/>
      <c r="K208" s="323"/>
      <c r="L208" s="467" t="s">
        <v>203</v>
      </c>
      <c r="M208" s="468"/>
      <c r="N208" s="320"/>
      <c r="O208" s="23"/>
      <c r="P208" s="23"/>
      <c r="Q208" s="642"/>
      <c r="R208" s="642"/>
      <c r="S208" s="642"/>
      <c r="T208" s="328"/>
      <c r="U208" s="230"/>
      <c r="V208" s="230"/>
      <c r="W208" s="230"/>
      <c r="X208" s="866"/>
      <c r="Y208" s="866"/>
      <c r="Z208" s="230"/>
      <c r="AA208" s="230"/>
      <c r="AB208" s="230"/>
      <c r="AD208" s="230"/>
      <c r="AE208" s="265"/>
      <c r="AF208" s="265"/>
      <c r="AG208" s="230"/>
      <c r="AH208" s="230"/>
      <c r="AI208" s="265"/>
      <c r="AJ208" s="265"/>
    </row>
    <row r="209" spans="1:36" ht="14.4" hidden="1" thickTop="1" x14ac:dyDescent="0.25">
      <c r="A209" s="68"/>
      <c r="B209" s="68"/>
      <c r="C209" s="68"/>
      <c r="D209" s="68"/>
      <c r="E209" s="68"/>
      <c r="F209" s="68"/>
      <c r="G209" s="68"/>
      <c r="H209" s="68"/>
      <c r="I209" s="68"/>
      <c r="J209" s="68"/>
      <c r="K209" s="68"/>
      <c r="L209" s="68"/>
      <c r="M209" s="130" t="s">
        <v>205</v>
      </c>
      <c r="N209" s="68"/>
      <c r="O209" s="23"/>
      <c r="P209" s="23"/>
      <c r="Q209" s="642"/>
      <c r="R209" s="642"/>
      <c r="S209" s="642"/>
      <c r="T209" s="328"/>
      <c r="U209" s="230"/>
      <c r="V209" s="230"/>
      <c r="W209" s="230"/>
      <c r="X209" s="866"/>
      <c r="Y209" s="866"/>
      <c r="Z209" s="230"/>
      <c r="AA209" s="230"/>
      <c r="AB209" s="230"/>
      <c r="AD209" s="230"/>
      <c r="AE209" s="265"/>
      <c r="AF209" s="265"/>
      <c r="AG209" s="230"/>
      <c r="AH209" s="230"/>
      <c r="AI209" s="265"/>
      <c r="AJ209" s="265"/>
    </row>
    <row r="210" spans="1:36" hidden="1" x14ac:dyDescent="0.25">
      <c r="A210" s="68"/>
      <c r="B210" s="68"/>
      <c r="C210" s="68"/>
      <c r="D210" s="68"/>
      <c r="E210" s="68"/>
      <c r="F210" s="68"/>
      <c r="G210" s="68"/>
      <c r="H210" s="68"/>
      <c r="I210" s="68"/>
      <c r="J210" s="68"/>
      <c r="K210" s="68"/>
      <c r="L210" s="68"/>
      <c r="M210" s="131">
        <v>0.26</v>
      </c>
      <c r="N210" s="68"/>
      <c r="O210" s="23"/>
      <c r="P210" s="23"/>
      <c r="Q210" s="642"/>
      <c r="R210" s="642"/>
      <c r="S210" s="642"/>
      <c r="T210" s="328"/>
      <c r="U210" s="230"/>
      <c r="V210" s="230"/>
      <c r="W210" s="230"/>
      <c r="X210" s="866"/>
      <c r="Y210" s="866"/>
      <c r="Z210" s="230"/>
      <c r="AA210" s="230"/>
      <c r="AB210" s="230"/>
      <c r="AD210" s="230"/>
      <c r="AE210" s="265"/>
      <c r="AF210" s="265"/>
      <c r="AG210" s="230"/>
      <c r="AH210" s="230"/>
      <c r="AI210" s="265"/>
      <c r="AJ210" s="265"/>
    </row>
    <row r="211" spans="1:36" hidden="1" x14ac:dyDescent="0.25">
      <c r="A211" s="68"/>
      <c r="B211" s="68"/>
      <c r="C211" s="68"/>
      <c r="D211" s="68"/>
      <c r="E211" s="68"/>
      <c r="F211" s="68"/>
      <c r="G211" s="68"/>
      <c r="H211" s="68"/>
      <c r="I211" s="68"/>
      <c r="J211" s="68"/>
      <c r="K211" s="68"/>
      <c r="L211" s="68"/>
      <c r="M211" s="131">
        <v>0.34</v>
      </c>
      <c r="N211" s="68"/>
      <c r="O211" s="23"/>
      <c r="P211" s="23"/>
      <c r="Q211" s="642"/>
      <c r="R211" s="642"/>
      <c r="S211" s="642"/>
      <c r="T211" s="328"/>
      <c r="U211" s="230"/>
      <c r="V211" s="230"/>
      <c r="W211" s="230"/>
      <c r="X211" s="866"/>
      <c r="Y211" s="866"/>
      <c r="Z211" s="230"/>
      <c r="AA211" s="230"/>
      <c r="AB211" s="230"/>
      <c r="AD211" s="230"/>
      <c r="AE211" s="265"/>
      <c r="AF211" s="265"/>
      <c r="AG211" s="230"/>
      <c r="AH211" s="230"/>
      <c r="AI211" s="265"/>
      <c r="AJ211" s="265"/>
    </row>
    <row r="212" spans="1:36" ht="14.4" hidden="1" thickBot="1" x14ac:dyDescent="0.3">
      <c r="A212" s="68"/>
      <c r="B212" s="68"/>
      <c r="C212" s="68"/>
      <c r="D212" s="68"/>
      <c r="E212" s="68"/>
      <c r="F212" s="68"/>
      <c r="G212" s="68"/>
      <c r="H212" s="68"/>
      <c r="I212" s="68"/>
      <c r="J212" s="68"/>
      <c r="K212" s="68"/>
      <c r="L212" s="68"/>
      <c r="M212" s="131">
        <v>0.41</v>
      </c>
      <c r="N212" s="68"/>
      <c r="O212" s="23"/>
      <c r="P212" s="23"/>
      <c r="Q212" s="642"/>
      <c r="R212" s="642"/>
      <c r="S212" s="642"/>
      <c r="T212" s="328"/>
      <c r="U212" s="230"/>
      <c r="V212" s="230"/>
      <c r="W212" s="230"/>
      <c r="X212" s="866"/>
      <c r="Y212" s="866"/>
      <c r="Z212" s="230"/>
      <c r="AA212" s="230"/>
      <c r="AB212" s="230"/>
      <c r="AD212" s="230"/>
      <c r="AE212" s="265"/>
      <c r="AF212" s="265"/>
      <c r="AG212" s="230"/>
      <c r="AH212" s="230"/>
      <c r="AI212" s="265"/>
      <c r="AJ212" s="265"/>
    </row>
    <row r="213" spans="1:36" ht="20.25" hidden="1" customHeight="1" thickTop="1" thickBot="1" x14ac:dyDescent="0.3">
      <c r="A213" s="323"/>
      <c r="B213" s="323"/>
      <c r="C213" s="323"/>
      <c r="D213" s="323"/>
      <c r="E213" s="323"/>
      <c r="F213" s="323"/>
      <c r="G213" s="323"/>
      <c r="H213" s="323"/>
      <c r="I213" s="323"/>
      <c r="J213" s="323"/>
      <c r="K213" s="323"/>
      <c r="L213" s="467" t="s">
        <v>204</v>
      </c>
      <c r="M213" s="324"/>
      <c r="N213" s="320"/>
      <c r="O213" s="23"/>
      <c r="P213" s="23"/>
      <c r="Q213" s="642"/>
      <c r="R213" s="642"/>
      <c r="S213" s="642"/>
      <c r="T213" s="328"/>
      <c r="U213" s="230"/>
      <c r="V213" s="230"/>
      <c r="W213" s="230"/>
      <c r="X213" s="866"/>
      <c r="Y213" s="866"/>
      <c r="Z213" s="230"/>
      <c r="AA213" s="230"/>
      <c r="AB213" s="230"/>
      <c r="AD213" s="230"/>
      <c r="AE213" s="265"/>
      <c r="AF213" s="265"/>
      <c r="AG213" s="230"/>
      <c r="AH213" s="230"/>
      <c r="AI213" s="265"/>
      <c r="AJ213" s="265"/>
    </row>
    <row r="214" spans="1:36" ht="14.4" hidden="1" thickTop="1" x14ac:dyDescent="0.25">
      <c r="A214" s="319" t="s">
        <v>207</v>
      </c>
      <c r="B214" s="319"/>
      <c r="C214" s="320"/>
      <c r="D214" s="320"/>
      <c r="E214" s="320"/>
      <c r="F214" s="320"/>
      <c r="G214" s="320"/>
      <c r="H214" s="320"/>
      <c r="I214" s="320"/>
      <c r="J214" s="320"/>
      <c r="K214" s="320"/>
      <c r="L214" s="320"/>
      <c r="M214" s="320"/>
      <c r="N214" s="320"/>
      <c r="O214" s="23"/>
      <c r="P214" s="23"/>
      <c r="Q214" s="642"/>
      <c r="R214" s="642"/>
      <c r="S214" s="642"/>
      <c r="T214" s="328"/>
      <c r="U214" s="230"/>
      <c r="V214" s="230"/>
      <c r="W214" s="230"/>
      <c r="X214" s="866"/>
      <c r="Y214" s="866"/>
      <c r="Z214" s="230"/>
      <c r="AA214" s="230"/>
      <c r="AB214" s="230"/>
      <c r="AD214" s="230"/>
      <c r="AE214" s="265"/>
      <c r="AF214" s="265"/>
      <c r="AG214" s="230"/>
      <c r="AH214" s="230"/>
      <c r="AI214" s="265"/>
      <c r="AJ214" s="265"/>
    </row>
    <row r="215" spans="1:36" hidden="1" x14ac:dyDescent="0.25">
      <c r="A215" s="319" t="s">
        <v>347</v>
      </c>
      <c r="B215" s="319"/>
      <c r="C215" s="320"/>
      <c r="D215" s="320"/>
      <c r="E215" s="320"/>
      <c r="F215" s="320"/>
      <c r="G215" s="320"/>
      <c r="H215" s="320"/>
      <c r="I215" s="320"/>
      <c r="J215" s="320"/>
      <c r="K215" s="320"/>
      <c r="L215" s="320"/>
      <c r="M215" s="320"/>
      <c r="N215" s="320"/>
      <c r="O215" s="23"/>
      <c r="P215" s="23"/>
      <c r="Q215" s="642"/>
      <c r="R215" s="642"/>
      <c r="S215" s="642"/>
      <c r="T215" s="328"/>
      <c r="U215" s="230"/>
      <c r="V215" s="230"/>
      <c r="W215" s="230"/>
      <c r="X215" s="866"/>
      <c r="Y215" s="866"/>
      <c r="Z215" s="230"/>
      <c r="AA215" s="230"/>
      <c r="AB215" s="230"/>
      <c r="AD215" s="230"/>
      <c r="AE215" s="265"/>
      <c r="AF215" s="265"/>
      <c r="AG215" s="230"/>
      <c r="AH215" s="230"/>
      <c r="AI215" s="265"/>
      <c r="AJ215" s="265"/>
    </row>
    <row r="216" spans="1:36" hidden="1" x14ac:dyDescent="0.25">
      <c r="A216" s="319" t="s">
        <v>348</v>
      </c>
      <c r="B216" s="319"/>
      <c r="C216" s="320"/>
      <c r="D216" s="320"/>
      <c r="E216" s="320"/>
      <c r="F216" s="320"/>
      <c r="G216" s="320"/>
      <c r="H216" s="320"/>
      <c r="I216" s="320"/>
      <c r="J216" s="320"/>
      <c r="K216" s="320"/>
      <c r="L216" s="320"/>
      <c r="M216" s="320"/>
      <c r="N216" s="320"/>
      <c r="O216" s="23"/>
      <c r="P216" s="23"/>
      <c r="Q216" s="642"/>
      <c r="R216" s="642"/>
      <c r="S216" s="642"/>
      <c r="T216" s="328"/>
      <c r="U216" s="230"/>
      <c r="V216" s="230"/>
      <c r="W216" s="230"/>
      <c r="X216" s="866"/>
      <c r="Y216" s="866"/>
      <c r="Z216" s="230"/>
      <c r="AA216" s="230"/>
      <c r="AB216" s="230"/>
      <c r="AD216" s="230"/>
      <c r="AE216" s="265"/>
      <c r="AF216" s="265"/>
      <c r="AG216" s="230"/>
      <c r="AH216" s="230"/>
      <c r="AI216" s="265"/>
      <c r="AJ216" s="265"/>
    </row>
    <row r="217" spans="1:36" hidden="1" x14ac:dyDescent="0.25">
      <c r="A217" s="319" t="s">
        <v>210</v>
      </c>
      <c r="B217" s="319"/>
      <c r="C217" s="320"/>
      <c r="D217" s="320"/>
      <c r="E217" s="320"/>
      <c r="F217" s="320"/>
      <c r="G217" s="320"/>
      <c r="H217" s="320"/>
      <c r="I217" s="320"/>
      <c r="J217" s="320"/>
      <c r="K217" s="320"/>
      <c r="L217" s="320"/>
      <c r="M217" s="320"/>
      <c r="N217" s="320"/>
      <c r="O217" s="23"/>
      <c r="P217" s="23"/>
      <c r="Q217" s="642"/>
      <c r="R217" s="642"/>
      <c r="S217" s="642"/>
      <c r="T217" s="328"/>
      <c r="U217" s="230"/>
      <c r="V217" s="230"/>
      <c r="W217" s="230"/>
      <c r="X217" s="866"/>
      <c r="Y217" s="866"/>
      <c r="Z217" s="230"/>
      <c r="AA217" s="230"/>
      <c r="AB217" s="230"/>
      <c r="AD217" s="230"/>
      <c r="AE217" s="265"/>
      <c r="AF217" s="265"/>
      <c r="AG217" s="230"/>
      <c r="AH217" s="230"/>
      <c r="AI217" s="265"/>
      <c r="AJ217" s="265"/>
    </row>
    <row r="218" spans="1:36" ht="5.25" hidden="1" customHeight="1" x14ac:dyDescent="0.25">
      <c r="A218" s="319"/>
      <c r="B218" s="319"/>
      <c r="C218" s="320"/>
      <c r="D218" s="320"/>
      <c r="E218" s="320"/>
      <c r="F218" s="320"/>
      <c r="G218" s="320"/>
      <c r="H218" s="320"/>
      <c r="I218" s="320"/>
      <c r="J218" s="320"/>
      <c r="K218" s="320"/>
      <c r="L218" s="320"/>
      <c r="M218" s="320"/>
      <c r="N218" s="320"/>
      <c r="O218" s="23"/>
      <c r="P218" s="23"/>
      <c r="Q218" s="642"/>
      <c r="R218" s="642"/>
      <c r="S218" s="642"/>
      <c r="T218" s="328"/>
      <c r="U218" s="230"/>
      <c r="V218" s="230"/>
      <c r="W218" s="230"/>
      <c r="X218" s="866"/>
      <c r="Y218" s="866"/>
      <c r="Z218" s="230"/>
      <c r="AA218" s="230"/>
      <c r="AB218" s="230"/>
      <c r="AD218" s="230"/>
      <c r="AE218" s="265"/>
      <c r="AF218" s="265"/>
      <c r="AG218" s="230"/>
      <c r="AH218" s="230"/>
      <c r="AI218" s="265"/>
      <c r="AJ218" s="265"/>
    </row>
    <row r="219" spans="1:36" hidden="1" x14ac:dyDescent="0.25">
      <c r="A219" s="319" t="s">
        <v>225</v>
      </c>
      <c r="B219" s="319"/>
      <c r="C219" s="320"/>
      <c r="D219" s="320"/>
      <c r="E219" s="320"/>
      <c r="F219" s="320"/>
      <c r="G219" s="320"/>
      <c r="H219" s="320"/>
      <c r="I219" s="320"/>
      <c r="J219" s="320"/>
      <c r="K219" s="320"/>
      <c r="L219" s="320"/>
      <c r="M219" s="320"/>
      <c r="N219" s="320"/>
      <c r="O219" s="23"/>
      <c r="P219" s="23"/>
      <c r="Q219" s="642"/>
      <c r="R219" s="642"/>
      <c r="S219" s="642"/>
      <c r="T219" s="328"/>
      <c r="U219" s="230"/>
      <c r="V219" s="230"/>
      <c r="W219" s="230"/>
      <c r="X219" s="866"/>
      <c r="Y219" s="866"/>
      <c r="Z219" s="230"/>
      <c r="AA219" s="230"/>
      <c r="AB219" s="230"/>
      <c r="AD219" s="230"/>
      <c r="AE219" s="265"/>
      <c r="AF219" s="265"/>
      <c r="AG219" s="230"/>
      <c r="AH219" s="230"/>
      <c r="AI219" s="265"/>
      <c r="AJ219" s="265"/>
    </row>
    <row r="220" spans="1:36" hidden="1" x14ac:dyDescent="0.25">
      <c r="A220" s="319" t="s">
        <v>176</v>
      </c>
      <c r="B220" s="319"/>
      <c r="C220" s="320"/>
      <c r="D220" s="320"/>
      <c r="E220" s="320"/>
      <c r="F220" s="320"/>
      <c r="G220" s="320"/>
      <c r="H220" s="320"/>
      <c r="I220" s="320"/>
      <c r="J220" s="320"/>
      <c r="K220" s="320"/>
      <c r="L220" s="320"/>
      <c r="M220" s="320"/>
      <c r="N220" s="320"/>
      <c r="O220" s="23"/>
      <c r="P220" s="23"/>
      <c r="Q220" s="642"/>
      <c r="R220" s="642"/>
      <c r="S220" s="642"/>
      <c r="T220" s="328"/>
      <c r="U220" s="230"/>
      <c r="V220" s="230"/>
      <c r="W220" s="230"/>
      <c r="X220" s="866"/>
      <c r="Y220" s="866"/>
      <c r="Z220" s="230"/>
      <c r="AA220" s="230"/>
      <c r="AB220" s="230"/>
      <c r="AD220" s="230"/>
      <c r="AE220" s="265"/>
      <c r="AF220" s="265"/>
      <c r="AG220" s="230"/>
      <c r="AH220" s="230"/>
      <c r="AI220" s="265"/>
      <c r="AJ220" s="265"/>
    </row>
    <row r="221" spans="1:36" hidden="1" x14ac:dyDescent="0.25">
      <c r="A221" s="319" t="s">
        <v>214</v>
      </c>
      <c r="B221" s="319"/>
      <c r="C221" s="320"/>
      <c r="D221" s="320"/>
      <c r="E221" s="320"/>
      <c r="F221" s="320"/>
      <c r="G221" s="320"/>
      <c r="H221" s="320"/>
      <c r="I221" s="320"/>
      <c r="J221" s="320"/>
      <c r="K221" s="320"/>
      <c r="L221" s="320"/>
      <c r="M221" s="320"/>
      <c r="N221" s="320"/>
      <c r="O221" s="23"/>
      <c r="P221" s="23"/>
      <c r="Q221" s="642"/>
      <c r="R221" s="642"/>
      <c r="S221" s="642"/>
      <c r="T221" s="328"/>
      <c r="U221" s="230"/>
      <c r="V221" s="230"/>
      <c r="W221" s="230"/>
      <c r="X221" s="866"/>
      <c r="Y221" s="866"/>
      <c r="Z221" s="230"/>
      <c r="AA221" s="230"/>
      <c r="AB221" s="230"/>
      <c r="AD221" s="230"/>
      <c r="AE221" s="265"/>
      <c r="AF221" s="265"/>
      <c r="AG221" s="230"/>
      <c r="AH221" s="230"/>
      <c r="AI221" s="265"/>
      <c r="AJ221" s="265"/>
    </row>
    <row r="222" spans="1:36" hidden="1" x14ac:dyDescent="0.25">
      <c r="A222" s="319" t="s">
        <v>177</v>
      </c>
      <c r="B222" s="319"/>
      <c r="C222" s="320"/>
      <c r="D222" s="320"/>
      <c r="E222" s="320"/>
      <c r="F222" s="320"/>
      <c r="G222" s="320"/>
      <c r="H222" s="320"/>
      <c r="I222" s="320"/>
      <c r="J222" s="320"/>
      <c r="K222" s="320"/>
      <c r="L222" s="320"/>
      <c r="M222" s="320"/>
      <c r="N222" s="320"/>
      <c r="O222" s="23"/>
      <c r="P222" s="23"/>
      <c r="Q222" s="642"/>
      <c r="R222" s="642"/>
      <c r="S222" s="642"/>
      <c r="T222" s="328"/>
      <c r="U222" s="230"/>
      <c r="V222" s="230"/>
      <c r="W222" s="230"/>
      <c r="X222" s="866"/>
      <c r="Y222" s="866"/>
      <c r="Z222" s="230"/>
      <c r="AA222" s="230"/>
      <c r="AB222" s="230"/>
      <c r="AD222" s="230"/>
      <c r="AE222" s="265"/>
      <c r="AF222" s="265"/>
      <c r="AG222" s="230"/>
      <c r="AH222" s="230"/>
      <c r="AI222" s="265"/>
      <c r="AJ222" s="265"/>
    </row>
    <row r="223" spans="1:36" hidden="1" x14ac:dyDescent="0.25">
      <c r="A223" s="319" t="s">
        <v>215</v>
      </c>
      <c r="B223" s="319"/>
      <c r="C223" s="320"/>
      <c r="D223" s="320"/>
      <c r="E223" s="320"/>
      <c r="F223" s="320"/>
      <c r="G223" s="320"/>
      <c r="H223" s="320"/>
      <c r="I223" s="320"/>
      <c r="J223" s="320"/>
      <c r="K223" s="320"/>
      <c r="L223" s="320"/>
      <c r="M223" s="320"/>
      <c r="N223" s="320"/>
      <c r="O223" s="23"/>
      <c r="P223" s="23"/>
      <c r="Q223" s="642"/>
      <c r="R223" s="642"/>
      <c r="S223" s="642"/>
      <c r="T223" s="328"/>
      <c r="U223" s="230"/>
      <c r="V223" s="230"/>
      <c r="W223" s="230"/>
      <c r="X223" s="866"/>
      <c r="Y223" s="866"/>
      <c r="Z223" s="230"/>
      <c r="AA223" s="230"/>
      <c r="AB223" s="230"/>
      <c r="AD223" s="230"/>
      <c r="AE223" s="265"/>
      <c r="AF223" s="265"/>
      <c r="AG223" s="230"/>
      <c r="AH223" s="230"/>
      <c r="AI223" s="265"/>
      <c r="AJ223" s="265"/>
    </row>
    <row r="224" spans="1:36" hidden="1" x14ac:dyDescent="0.25">
      <c r="A224" s="319" t="s">
        <v>349</v>
      </c>
      <c r="B224" s="319"/>
      <c r="C224" s="320"/>
      <c r="D224" s="320"/>
      <c r="E224" s="320"/>
      <c r="F224" s="320"/>
      <c r="G224" s="320"/>
      <c r="H224" s="320"/>
      <c r="I224" s="320"/>
      <c r="J224" s="320"/>
      <c r="K224" s="320"/>
      <c r="L224" s="320"/>
      <c r="M224" s="320"/>
      <c r="N224" s="320"/>
      <c r="O224" s="23"/>
      <c r="P224" s="23"/>
      <c r="Q224" s="642"/>
      <c r="R224" s="642"/>
      <c r="S224" s="642"/>
      <c r="T224" s="328"/>
      <c r="U224" s="230"/>
      <c r="V224" s="230"/>
      <c r="W224" s="230"/>
      <c r="X224" s="866"/>
      <c r="Y224" s="866"/>
      <c r="Z224" s="230"/>
      <c r="AA224" s="230"/>
      <c r="AB224" s="230"/>
      <c r="AD224" s="230"/>
      <c r="AE224" s="265"/>
      <c r="AF224" s="265"/>
      <c r="AG224" s="230"/>
      <c r="AH224" s="230"/>
      <c r="AI224" s="265"/>
      <c r="AJ224" s="265"/>
    </row>
    <row r="225" spans="1:83" hidden="1" x14ac:dyDescent="0.25">
      <c r="A225" s="319" t="s">
        <v>216</v>
      </c>
      <c r="B225" s="319"/>
      <c r="C225" s="320"/>
      <c r="D225" s="320"/>
      <c r="E225" s="320"/>
      <c r="F225" s="320"/>
      <c r="G225" s="320"/>
      <c r="H225" s="320"/>
      <c r="I225" s="320"/>
      <c r="J225" s="320"/>
      <c r="K225" s="320"/>
      <c r="L225" s="320"/>
      <c r="M225" s="320"/>
      <c r="N225" s="320"/>
      <c r="O225" s="23"/>
      <c r="P225" s="23"/>
      <c r="Q225" s="642"/>
      <c r="R225" s="642"/>
      <c r="S225" s="642"/>
      <c r="T225" s="328"/>
      <c r="U225" s="230"/>
      <c r="V225" s="230"/>
      <c r="W225" s="230"/>
      <c r="X225" s="866"/>
      <c r="Y225" s="866"/>
      <c r="Z225" s="230"/>
      <c r="AA225" s="230"/>
      <c r="AB225" s="230"/>
      <c r="AD225" s="230"/>
      <c r="AE225" s="265"/>
      <c r="AF225" s="265"/>
      <c r="AG225" s="230"/>
      <c r="AH225" s="230"/>
      <c r="AI225" s="265"/>
      <c r="AJ225" s="265"/>
    </row>
    <row r="226" spans="1:83" hidden="1" x14ac:dyDescent="0.25">
      <c r="A226" s="319" t="s">
        <v>217</v>
      </c>
      <c r="B226" s="319"/>
      <c r="C226" s="320"/>
      <c r="D226" s="320"/>
      <c r="E226" s="320"/>
      <c r="F226" s="320"/>
      <c r="G226" s="320"/>
      <c r="H226" s="320"/>
      <c r="I226" s="320"/>
      <c r="J226" s="320"/>
      <c r="K226" s="320"/>
      <c r="L226" s="320"/>
      <c r="M226" s="320"/>
      <c r="N226" s="320"/>
      <c r="O226" s="23"/>
      <c r="P226" s="23"/>
      <c r="Q226" s="642"/>
      <c r="R226" s="642"/>
      <c r="S226" s="642"/>
      <c r="T226" s="328"/>
      <c r="U226" s="230"/>
      <c r="V226" s="230"/>
      <c r="W226" s="230"/>
      <c r="X226" s="866"/>
      <c r="Y226" s="866"/>
      <c r="Z226" s="230"/>
      <c r="AA226" s="230"/>
      <c r="AB226" s="230"/>
      <c r="AD226" s="230"/>
      <c r="AE226" s="265"/>
      <c r="AF226" s="265"/>
      <c r="AG226" s="230"/>
      <c r="AH226" s="230"/>
      <c r="AI226" s="265"/>
      <c r="AJ226" s="265"/>
    </row>
    <row r="227" spans="1:83" hidden="1" x14ac:dyDescent="0.25">
      <c r="A227" s="436"/>
      <c r="B227" s="436"/>
      <c r="C227" s="436"/>
      <c r="D227" s="436"/>
      <c r="E227" s="436"/>
      <c r="F227" s="436"/>
      <c r="G227" s="436"/>
      <c r="H227" s="436"/>
      <c r="I227" s="436"/>
      <c r="J227" s="436"/>
      <c r="K227" s="437"/>
      <c r="L227" s="436"/>
      <c r="M227" s="436"/>
      <c r="N227" s="325"/>
      <c r="O227" s="23"/>
      <c r="P227" s="23"/>
      <c r="Q227" s="642"/>
      <c r="R227" s="642"/>
      <c r="S227" s="642"/>
      <c r="T227" s="328"/>
      <c r="U227" s="230"/>
      <c r="V227" s="230"/>
      <c r="W227" s="230"/>
      <c r="X227" s="866"/>
      <c r="Y227" s="866"/>
      <c r="Z227" s="230"/>
      <c r="AA227" s="230"/>
      <c r="AB227" s="230"/>
      <c r="AD227" s="230"/>
      <c r="AE227" s="265"/>
      <c r="AF227" s="265"/>
      <c r="AG227" s="230"/>
      <c r="AH227" s="230"/>
      <c r="AI227" s="265"/>
      <c r="AJ227" s="265"/>
    </row>
    <row r="228" spans="1:83" s="867" customFormat="1" ht="25.5" customHeight="1" thickBot="1" x14ac:dyDescent="0.3">
      <c r="A228" s="1235" t="s">
        <v>578</v>
      </c>
      <c r="B228" s="1235"/>
      <c r="C228" s="453"/>
      <c r="D228" s="328"/>
      <c r="E228" s="453"/>
      <c r="F228" s="328"/>
      <c r="G228" s="328"/>
      <c r="H228" s="328"/>
      <c r="I228" s="328"/>
      <c r="J228" s="328"/>
      <c r="K228" s="328"/>
      <c r="L228" s="328"/>
      <c r="M228" s="328"/>
      <c r="N228" s="443"/>
      <c r="Q228" s="5"/>
      <c r="R228" s="5"/>
      <c r="S228" s="5"/>
      <c r="T228" s="15"/>
      <c r="AB228" s="866"/>
      <c r="AC228" s="868"/>
      <c r="AD228" s="868"/>
      <c r="AE228" s="866"/>
      <c r="AF228" s="866"/>
      <c r="AG228" s="868"/>
      <c r="AH228" s="868"/>
      <c r="AN228" s="126" t="s">
        <v>183</v>
      </c>
      <c r="AP228" s="125" t="e">
        <f>AP289/AR289</f>
        <v>#DIV/0!</v>
      </c>
      <c r="AQ228" s="125" t="e">
        <f>AQ289/AR289</f>
        <v>#DIV/0!</v>
      </c>
      <c r="AR228" s="154" t="e">
        <f>AP228+AQ228</f>
        <v>#DIV/0!</v>
      </c>
      <c r="AS228" s="866"/>
      <c r="AT228" s="866"/>
      <c r="AU228" s="866"/>
      <c r="AV228" s="866"/>
      <c r="AW228" s="866"/>
      <c r="AX228" s="866"/>
      <c r="AY228" s="866"/>
      <c r="AZ228" s="866"/>
      <c r="BA228" s="866"/>
      <c r="BB228" s="866"/>
      <c r="BC228" s="866"/>
      <c r="BD228" s="866"/>
      <c r="BE228" s="866"/>
      <c r="BF228" s="869"/>
      <c r="BG228" s="869"/>
      <c r="BH228" s="869"/>
      <c r="BI228" s="869"/>
      <c r="BJ228" s="869"/>
      <c r="BK228" s="869"/>
      <c r="BL228" s="869"/>
      <c r="BM228" s="869"/>
      <c r="BN228" s="869"/>
      <c r="BO228" s="869"/>
      <c r="BP228" s="869"/>
      <c r="BQ228" s="869"/>
      <c r="BR228" s="869"/>
      <c r="BS228" s="869"/>
      <c r="BT228" s="869"/>
      <c r="BU228" s="869"/>
      <c r="BV228" s="869"/>
      <c r="BW228" s="869"/>
      <c r="BX228" s="869"/>
      <c r="BY228" s="869"/>
      <c r="BZ228" s="869"/>
      <c r="CA228" s="869"/>
      <c r="CB228" s="869"/>
      <c r="CC228" s="869"/>
      <c r="CD228" s="869"/>
      <c r="CE228" s="869"/>
    </row>
    <row r="229" spans="1:83" ht="15" thickTop="1" thickBot="1" x14ac:dyDescent="0.3">
      <c r="A229" s="1226" t="s">
        <v>564</v>
      </c>
      <c r="B229" s="1226"/>
      <c r="C229" s="319"/>
      <c r="D229" s="320"/>
      <c r="E229" s="319"/>
      <c r="F229" s="320"/>
      <c r="G229" s="320"/>
      <c r="H229" s="320"/>
      <c r="I229" s="320"/>
      <c r="J229" s="320"/>
      <c r="K229" s="320"/>
      <c r="L229" s="321" t="s">
        <v>59</v>
      </c>
      <c r="M229" s="320"/>
      <c r="N229" s="1094" t="s">
        <v>444</v>
      </c>
      <c r="O229" s="190"/>
      <c r="P229" s="190"/>
      <c r="Q229" s="642"/>
      <c r="R229" s="642"/>
      <c r="S229" s="642"/>
      <c r="T229" s="328"/>
      <c r="U229" s="230"/>
      <c r="V229" s="230"/>
      <c r="W229" s="230"/>
      <c r="X229" s="866"/>
      <c r="Y229" s="866"/>
      <c r="Z229" s="230"/>
      <c r="AA229" s="230"/>
      <c r="AB229" s="230"/>
      <c r="AD229" s="230"/>
      <c r="AE229" s="265"/>
      <c r="AF229" s="265"/>
      <c r="AG229" s="230"/>
      <c r="AH229" s="230"/>
      <c r="AI229" s="265"/>
      <c r="AJ229" s="265"/>
    </row>
    <row r="230" spans="1:83" ht="15" thickTop="1" thickBot="1" x14ac:dyDescent="0.3">
      <c r="A230" s="319" t="s">
        <v>318</v>
      </c>
      <c r="B230" s="319"/>
      <c r="C230" s="319"/>
      <c r="D230" s="320"/>
      <c r="E230" s="319"/>
      <c r="F230" s="320"/>
      <c r="G230" s="320"/>
      <c r="H230" s="320"/>
      <c r="I230" s="320"/>
      <c r="J230" s="320"/>
      <c r="K230" s="320"/>
      <c r="L230" s="320"/>
      <c r="M230" s="449"/>
      <c r="N230" s="320"/>
      <c r="O230" s="23"/>
      <c r="P230" s="23"/>
      <c r="Q230" s="642"/>
      <c r="R230" s="642"/>
      <c r="S230" s="642"/>
      <c r="T230" s="328"/>
      <c r="U230" s="230"/>
      <c r="V230" s="230"/>
      <c r="W230" s="230"/>
      <c r="X230" s="866"/>
      <c r="Y230" s="866"/>
      <c r="Z230" s="230"/>
      <c r="AA230" s="230"/>
      <c r="AB230" s="230"/>
      <c r="AD230" s="230"/>
      <c r="AE230" s="265"/>
      <c r="AF230" s="265"/>
      <c r="AG230" s="230"/>
      <c r="AH230" s="230"/>
      <c r="AI230" s="265"/>
      <c r="AJ230" s="265"/>
    </row>
    <row r="231" spans="1:83" s="56" customFormat="1" ht="15" thickTop="1" thickBot="1" x14ac:dyDescent="0.3">
      <c r="A231" s="450"/>
      <c r="B231" s="450"/>
      <c r="C231" s="450"/>
      <c r="D231" s="325"/>
      <c r="E231" s="450"/>
      <c r="F231" s="325"/>
      <c r="G231" s="325"/>
      <c r="H231" s="325"/>
      <c r="I231" s="325"/>
      <c r="J231" s="325"/>
      <c r="K231" s="325"/>
      <c r="L231" s="325"/>
      <c r="M231" s="325"/>
      <c r="N231" s="451"/>
      <c r="O231" s="191"/>
      <c r="P231" s="191"/>
      <c r="Q231" s="640"/>
      <c r="R231" s="640"/>
      <c r="S231" s="640"/>
      <c r="T231" s="328"/>
      <c r="U231" s="326"/>
      <c r="V231" s="326"/>
      <c r="W231" s="326"/>
      <c r="X231" s="326"/>
      <c r="Y231" s="326"/>
      <c r="Z231" s="326"/>
      <c r="AA231" s="326"/>
      <c r="AB231" s="326"/>
      <c r="AC231" s="13"/>
      <c r="AD231" s="326"/>
      <c r="AE231" s="510"/>
      <c r="AF231" s="510"/>
      <c r="AG231" s="326"/>
      <c r="AH231" s="326"/>
      <c r="AI231" s="510"/>
      <c r="AJ231" s="510"/>
      <c r="AK231" s="13"/>
      <c r="AL231" s="13"/>
      <c r="AM231" s="13"/>
      <c r="AN231" s="13"/>
      <c r="AO231" s="13"/>
      <c r="AP231" s="13"/>
      <c r="AQ231" s="13"/>
      <c r="AR231" s="13"/>
      <c r="AS231" s="13"/>
      <c r="AT231" s="13"/>
      <c r="AU231" s="13"/>
      <c r="AV231" s="13"/>
      <c r="AW231" s="13"/>
      <c r="AX231" s="13"/>
      <c r="AY231" s="13"/>
    </row>
    <row r="232" spans="1:83" ht="16.5" customHeight="1" thickTop="1" thickBot="1" x14ac:dyDescent="0.3">
      <c r="A232" s="1093" t="s">
        <v>381</v>
      </c>
      <c r="B232" s="1093"/>
      <c r="C232" s="438"/>
      <c r="D232" s="438"/>
      <c r="E232" s="438"/>
      <c r="F232" s="438"/>
      <c r="G232" s="438"/>
      <c r="H232" s="438"/>
      <c r="I232" s="438"/>
      <c r="J232" s="438"/>
      <c r="K232" s="321" t="s">
        <v>60</v>
      </c>
      <c r="L232" s="438"/>
      <c r="M232" s="438"/>
      <c r="N232" s="1094" t="s">
        <v>114</v>
      </c>
      <c r="O232" s="192"/>
      <c r="P232" s="192"/>
      <c r="Q232" s="642"/>
      <c r="R232" s="642"/>
      <c r="S232" s="642"/>
      <c r="T232" s="328"/>
      <c r="U232" s="230"/>
      <c r="V232" s="230"/>
      <c r="W232" s="230"/>
      <c r="X232" s="866"/>
      <c r="Y232" s="866"/>
      <c r="Z232" s="230"/>
      <c r="AA232" s="230"/>
      <c r="AB232" s="230"/>
      <c r="AD232" s="230"/>
      <c r="AE232" s="265"/>
      <c r="AF232" s="265"/>
      <c r="AG232" s="230"/>
      <c r="AH232" s="230"/>
      <c r="AI232" s="265"/>
      <c r="AJ232" s="265"/>
    </row>
    <row r="233" spans="1:83" ht="15" thickTop="1" thickBot="1" x14ac:dyDescent="0.3">
      <c r="A233" s="1226" t="s">
        <v>319</v>
      </c>
      <c r="B233" s="1226"/>
      <c r="C233" s="319"/>
      <c r="D233" s="320"/>
      <c r="E233" s="319"/>
      <c r="F233" s="320"/>
      <c r="G233" s="320"/>
      <c r="H233" s="320"/>
      <c r="I233" s="320"/>
      <c r="J233" s="320"/>
      <c r="K233" s="320"/>
      <c r="L233" s="320"/>
      <c r="M233" s="320"/>
      <c r="N233" s="320"/>
      <c r="O233" s="23"/>
      <c r="P233" s="23"/>
      <c r="Q233" s="642"/>
      <c r="R233" s="642"/>
      <c r="S233" s="642"/>
      <c r="T233" s="328"/>
      <c r="U233" s="230"/>
      <c r="V233" s="230"/>
      <c r="W233" s="230"/>
      <c r="X233" s="866"/>
      <c r="Y233" s="866"/>
      <c r="Z233" s="230"/>
      <c r="AA233" s="230"/>
      <c r="AB233" s="230"/>
      <c r="AD233" s="230"/>
      <c r="AE233" s="265"/>
      <c r="AF233" s="265"/>
      <c r="AG233" s="230"/>
      <c r="AH233" s="230"/>
      <c r="AI233" s="265"/>
      <c r="AJ233" s="265"/>
    </row>
    <row r="234" spans="1:83" ht="15" thickTop="1" thickBot="1" x14ac:dyDescent="0.3">
      <c r="A234" s="319"/>
      <c r="B234" s="319"/>
      <c r="C234" s="319"/>
      <c r="D234" s="320"/>
      <c r="E234" s="319"/>
      <c r="F234" s="320"/>
      <c r="G234" s="320"/>
      <c r="H234" s="320"/>
      <c r="I234" s="320"/>
      <c r="J234" s="320"/>
      <c r="K234" s="320"/>
      <c r="L234" s="320"/>
      <c r="M234" s="320"/>
      <c r="N234" s="452"/>
      <c r="O234" s="191"/>
      <c r="P234" s="191"/>
      <c r="Q234" s="642"/>
      <c r="R234" s="642"/>
      <c r="S234" s="642"/>
      <c r="T234" s="328"/>
      <c r="U234" s="230"/>
      <c r="V234" s="230"/>
      <c r="W234" s="230"/>
      <c r="X234" s="866"/>
      <c r="Y234" s="866"/>
      <c r="Z234" s="230"/>
      <c r="AA234" s="230"/>
      <c r="AB234" s="230"/>
      <c r="AD234" s="230"/>
      <c r="AE234" s="265"/>
      <c r="AF234" s="265"/>
      <c r="AG234" s="230"/>
      <c r="AH234" s="230"/>
      <c r="AI234" s="265"/>
      <c r="AJ234" s="265"/>
    </row>
    <row r="235" spans="1:83" ht="15" thickTop="1" thickBot="1" x14ac:dyDescent="0.3">
      <c r="A235" s="319"/>
      <c r="B235" s="319"/>
      <c r="C235" s="319"/>
      <c r="D235" s="320"/>
      <c r="E235" s="319"/>
      <c r="F235" s="320"/>
      <c r="G235" s="320"/>
      <c r="H235" s="320"/>
      <c r="I235" s="320"/>
      <c r="J235" s="320"/>
      <c r="K235" s="320"/>
      <c r="L235" s="320"/>
      <c r="M235" s="320"/>
      <c r="N235" s="452"/>
      <c r="O235" s="191"/>
      <c r="P235" s="191"/>
      <c r="Q235" s="642"/>
      <c r="R235" s="642"/>
      <c r="S235" s="642"/>
      <c r="T235" s="328"/>
      <c r="U235" s="230"/>
      <c r="V235" s="230"/>
      <c r="W235" s="230"/>
      <c r="X235" s="866"/>
      <c r="Y235" s="866"/>
      <c r="Z235" s="230"/>
      <c r="AA235" s="230"/>
      <c r="AB235" s="230"/>
      <c r="AD235" s="230"/>
      <c r="AE235" s="265"/>
      <c r="AF235" s="265"/>
      <c r="AG235" s="230"/>
      <c r="AH235" s="230"/>
      <c r="AI235" s="265"/>
      <c r="AJ235" s="265"/>
    </row>
    <row r="236" spans="1:83" ht="15" thickTop="1" thickBot="1" x14ac:dyDescent="0.3">
      <c r="A236" s="319"/>
      <c r="B236" s="319"/>
      <c r="C236" s="319"/>
      <c r="D236" s="320"/>
      <c r="E236" s="319"/>
      <c r="F236" s="320"/>
      <c r="G236" s="320"/>
      <c r="H236" s="320"/>
      <c r="I236" s="320"/>
      <c r="J236" s="320"/>
      <c r="K236" s="320"/>
      <c r="L236" s="320"/>
      <c r="M236" s="320"/>
      <c r="N236" s="452"/>
      <c r="O236" s="191"/>
      <c r="P236" s="191"/>
      <c r="Q236" s="642"/>
      <c r="R236" s="642"/>
      <c r="S236" s="642"/>
      <c r="T236" s="328"/>
      <c r="U236" s="230"/>
      <c r="V236" s="230"/>
      <c r="W236" s="230"/>
      <c r="X236" s="866"/>
      <c r="Y236" s="866"/>
      <c r="Z236" s="230"/>
      <c r="AA236" s="230"/>
      <c r="AB236" s="230"/>
      <c r="AD236" s="230"/>
      <c r="AE236" s="265"/>
      <c r="AF236" s="265"/>
      <c r="AG236" s="230"/>
      <c r="AH236" s="230"/>
      <c r="AI236" s="265"/>
      <c r="AJ236" s="265"/>
    </row>
    <row r="237" spans="1:83" s="867" customFormat="1" ht="14.4" thickTop="1" x14ac:dyDescent="0.25">
      <c r="A237" s="453"/>
      <c r="B237" s="453"/>
      <c r="C237" s="453"/>
      <c r="D237" s="328"/>
      <c r="E237" s="453"/>
      <c r="F237" s="328"/>
      <c r="G237" s="328"/>
      <c r="H237" s="328"/>
      <c r="I237" s="328"/>
      <c r="J237" s="328"/>
      <c r="K237" s="328"/>
      <c r="L237" s="328"/>
      <c r="M237" s="328"/>
      <c r="N237" s="1223"/>
      <c r="O237" s="115"/>
      <c r="P237" s="115"/>
      <c r="Q237" s="640"/>
      <c r="R237" s="642"/>
      <c r="S237" s="642"/>
      <c r="T237" s="328"/>
      <c r="U237" s="866"/>
      <c r="V237" s="866"/>
      <c r="W237" s="866"/>
      <c r="X237" s="866"/>
      <c r="Y237" s="866"/>
      <c r="Z237" s="866"/>
      <c r="AA237" s="866"/>
      <c r="AB237" s="866"/>
      <c r="AD237" s="866"/>
      <c r="AE237" s="868"/>
      <c r="AF237" s="868"/>
      <c r="AG237" s="866"/>
      <c r="AH237" s="866"/>
      <c r="AI237" s="868"/>
      <c r="AJ237" s="868"/>
    </row>
    <row r="238" spans="1:83" s="867" customFormat="1" ht="25.5" customHeight="1" thickBot="1" x14ac:dyDescent="0.3">
      <c r="A238" s="1235" t="s">
        <v>566</v>
      </c>
      <c r="B238" s="1235"/>
      <c r="C238" s="453"/>
      <c r="D238" s="328"/>
      <c r="E238" s="453"/>
      <c r="F238" s="328"/>
      <c r="G238" s="328"/>
      <c r="H238" s="328"/>
      <c r="I238" s="328"/>
      <c r="J238" s="328"/>
      <c r="K238" s="328"/>
      <c r="L238" s="328"/>
      <c r="M238" s="328"/>
      <c r="N238" s="443"/>
      <c r="Q238" s="5"/>
      <c r="R238" s="5"/>
      <c r="S238" s="5"/>
      <c r="T238" s="15"/>
      <c r="AB238" s="866"/>
      <c r="AC238" s="868"/>
      <c r="AD238" s="868"/>
      <c r="AE238" s="866"/>
      <c r="AF238" s="866"/>
      <c r="AG238" s="868"/>
      <c r="AH238" s="868"/>
      <c r="AN238" s="126" t="s">
        <v>183</v>
      </c>
      <c r="AP238" s="125" t="e">
        <f>AP110/AR110</f>
        <v>#DIV/0!</v>
      </c>
      <c r="AQ238" s="125" t="e">
        <f>AQ110/AR110</f>
        <v>#DIV/0!</v>
      </c>
      <c r="AR238" s="154" t="e">
        <f>AP238+AQ238</f>
        <v>#DIV/0!</v>
      </c>
      <c r="AS238" s="866"/>
      <c r="AT238" s="866"/>
      <c r="AU238" s="866"/>
      <c r="AV238" s="866"/>
      <c r="AW238" s="866"/>
      <c r="AX238" s="866"/>
      <c r="AY238" s="866"/>
      <c r="AZ238" s="866"/>
      <c r="BA238" s="866"/>
      <c r="BB238" s="866"/>
      <c r="BC238" s="866"/>
      <c r="BD238" s="866"/>
      <c r="BE238" s="866"/>
      <c r="BF238" s="869"/>
      <c r="BG238" s="869"/>
      <c r="BH238" s="869"/>
      <c r="BI238" s="869"/>
      <c r="BJ238" s="869"/>
      <c r="BK238" s="869"/>
      <c r="BL238" s="869"/>
      <c r="BM238" s="869"/>
      <c r="BN238" s="869"/>
      <c r="BO238" s="869"/>
      <c r="BP238" s="869"/>
      <c r="BQ238" s="869"/>
      <c r="BR238" s="869"/>
      <c r="BS238" s="869"/>
      <c r="BT238" s="869"/>
      <c r="BU238" s="869"/>
      <c r="BV238" s="869"/>
      <c r="BW238" s="869"/>
      <c r="BX238" s="869"/>
      <c r="BY238" s="869"/>
      <c r="BZ238" s="869"/>
      <c r="CA238" s="869"/>
      <c r="CB238" s="869"/>
      <c r="CC238" s="869"/>
      <c r="CD238" s="869"/>
      <c r="CE238" s="869"/>
    </row>
    <row r="239" spans="1:83" ht="15" thickTop="1" thickBot="1" x14ac:dyDescent="0.3">
      <c r="A239" s="1226" t="s">
        <v>384</v>
      </c>
      <c r="B239" s="1226"/>
      <c r="C239" s="319"/>
      <c r="D239" s="320"/>
      <c r="E239" s="319"/>
      <c r="F239" s="320"/>
      <c r="G239" s="320"/>
      <c r="H239" s="320"/>
      <c r="I239" s="320"/>
      <c r="J239" s="320"/>
      <c r="K239" s="309"/>
      <c r="L239" s="320"/>
      <c r="M239" s="321" t="s">
        <v>59</v>
      </c>
      <c r="N239" s="1094" t="s">
        <v>52</v>
      </c>
      <c r="O239" s="23"/>
      <c r="P239" s="23"/>
      <c r="Q239" s="642"/>
      <c r="R239" s="642"/>
      <c r="S239" s="642"/>
      <c r="T239" s="328"/>
      <c r="U239" s="230"/>
      <c r="V239" s="230"/>
      <c r="W239" s="230"/>
      <c r="X239" s="866"/>
      <c r="Y239" s="866"/>
      <c r="Z239" s="230"/>
      <c r="AA239" s="230"/>
      <c r="AB239" s="230"/>
      <c r="AD239" s="230"/>
      <c r="AE239" s="265"/>
      <c r="AF239" s="265"/>
      <c r="AG239" s="230"/>
      <c r="AH239" s="230"/>
      <c r="AI239" s="265"/>
      <c r="AJ239" s="265"/>
    </row>
    <row r="240" spans="1:83" ht="18.600000000000001" hidden="1" thickTop="1" x14ac:dyDescent="0.35">
      <c r="A240" s="1174" t="s">
        <v>536</v>
      </c>
      <c r="B240" s="1174"/>
      <c r="C240" s="69"/>
      <c r="D240" s="68"/>
      <c r="E240" s="69"/>
      <c r="F240" s="68"/>
      <c r="G240" s="68"/>
      <c r="H240" s="68"/>
      <c r="I240" s="68"/>
      <c r="J240" s="68"/>
      <c r="K240" s="97"/>
      <c r="L240" s="68"/>
      <c r="M240" s="130" t="s">
        <v>56</v>
      </c>
      <c r="N240" s="68"/>
      <c r="O240" s="23"/>
      <c r="P240" s="23"/>
      <c r="Q240" s="642"/>
      <c r="R240" s="642"/>
      <c r="S240" s="642"/>
      <c r="T240" s="328"/>
      <c r="U240" s="230"/>
      <c r="V240" s="230"/>
      <c r="W240" s="230"/>
      <c r="X240" s="866"/>
      <c r="Y240" s="866"/>
      <c r="Z240" s="230"/>
      <c r="AA240" s="230"/>
      <c r="AB240" s="230"/>
      <c r="AD240" s="230"/>
      <c r="AE240" s="265"/>
      <c r="AF240" s="265"/>
      <c r="AG240" s="230"/>
      <c r="AH240" s="230"/>
      <c r="AI240" s="265"/>
      <c r="AJ240" s="265"/>
    </row>
    <row r="241" spans="1:36" hidden="1" x14ac:dyDescent="0.25">
      <c r="A241" s="69" t="s">
        <v>537</v>
      </c>
      <c r="B241" s="69"/>
      <c r="C241" s="69"/>
      <c r="D241" s="68"/>
      <c r="E241" s="69"/>
      <c r="F241" s="68"/>
      <c r="G241" s="68"/>
      <c r="H241" s="68"/>
      <c r="I241" s="68"/>
      <c r="J241" s="68"/>
      <c r="K241" s="97"/>
      <c r="L241" s="68"/>
      <c r="M241" s="131">
        <v>0</v>
      </c>
      <c r="N241" s="68"/>
      <c r="O241" s="23"/>
      <c r="P241" s="23"/>
      <c r="Q241" s="642"/>
      <c r="R241" s="642"/>
      <c r="S241" s="642"/>
      <c r="T241" s="328"/>
      <c r="U241" s="230"/>
      <c r="V241" s="230"/>
      <c r="W241" s="230"/>
      <c r="X241" s="866"/>
      <c r="Y241" s="866"/>
      <c r="Z241" s="230"/>
      <c r="AA241" s="230"/>
      <c r="AB241" s="230"/>
      <c r="AD241" s="230"/>
      <c r="AE241" s="265"/>
      <c r="AF241" s="265"/>
      <c r="AG241" s="230"/>
      <c r="AH241" s="230"/>
      <c r="AI241" s="265"/>
      <c r="AJ241" s="265"/>
    </row>
    <row r="242" spans="1:36" hidden="1" x14ac:dyDescent="0.25">
      <c r="A242" s="69"/>
      <c r="B242" s="69"/>
      <c r="C242" s="69"/>
      <c r="D242" s="68"/>
      <c r="E242" s="69"/>
      <c r="F242" s="68"/>
      <c r="G242" s="68"/>
      <c r="H242" s="68"/>
      <c r="I242" s="68"/>
      <c r="J242" s="68"/>
      <c r="K242" s="97"/>
      <c r="L242" s="68"/>
      <c r="M242" s="131">
        <v>0.08</v>
      </c>
      <c r="N242" s="68"/>
      <c r="O242" s="23"/>
      <c r="P242" s="23"/>
      <c r="Q242" s="642"/>
      <c r="R242" s="642"/>
      <c r="S242" s="642"/>
      <c r="T242" s="328"/>
      <c r="U242" s="230"/>
      <c r="V242" s="230"/>
      <c r="W242" s="230"/>
      <c r="X242" s="866"/>
      <c r="Y242" s="866"/>
      <c r="Z242" s="230"/>
      <c r="AA242" s="230"/>
      <c r="AB242" s="230"/>
      <c r="AD242" s="230"/>
      <c r="AE242" s="265"/>
      <c r="AF242" s="265"/>
      <c r="AG242" s="230"/>
      <c r="AH242" s="230"/>
      <c r="AI242" s="265"/>
      <c r="AJ242" s="265"/>
    </row>
    <row r="243" spans="1:36" hidden="1" x14ac:dyDescent="0.25">
      <c r="A243" s="69"/>
      <c r="B243" s="69"/>
      <c r="C243" s="69"/>
      <c r="D243" s="68"/>
      <c r="E243" s="69"/>
      <c r="F243" s="68"/>
      <c r="G243" s="68"/>
      <c r="H243" s="68"/>
      <c r="I243" s="68"/>
      <c r="J243" s="68"/>
      <c r="K243" s="97"/>
      <c r="L243" s="68"/>
      <c r="M243" s="131">
        <v>0.1</v>
      </c>
      <c r="N243" s="68"/>
      <c r="O243" s="23"/>
      <c r="P243" s="23"/>
      <c r="Q243" s="642"/>
      <c r="R243" s="642"/>
      <c r="S243" s="642"/>
      <c r="T243" s="328"/>
      <c r="U243" s="230"/>
      <c r="V243" s="230"/>
      <c r="W243" s="230"/>
      <c r="X243" s="866"/>
      <c r="Y243" s="866"/>
      <c r="Z243" s="230"/>
      <c r="AA243" s="230"/>
      <c r="AB243" s="230"/>
      <c r="AD243" s="230"/>
      <c r="AE243" s="265"/>
      <c r="AF243" s="265"/>
      <c r="AG243" s="230"/>
      <c r="AH243" s="230"/>
      <c r="AI243" s="265"/>
      <c r="AJ243" s="265"/>
    </row>
    <row r="244" spans="1:36" hidden="1" x14ac:dyDescent="0.25">
      <c r="A244" s="69"/>
      <c r="B244" s="69"/>
      <c r="C244" s="69"/>
      <c r="D244" s="68"/>
      <c r="E244" s="69"/>
      <c r="F244" s="68"/>
      <c r="G244" s="68"/>
      <c r="H244" s="68"/>
      <c r="I244" s="68"/>
      <c r="J244" s="68"/>
      <c r="K244" s="97"/>
      <c r="L244" s="68"/>
      <c r="M244" s="131">
        <v>0.15</v>
      </c>
      <c r="N244" s="68"/>
      <c r="O244" s="23"/>
      <c r="P244" s="23"/>
      <c r="Q244" s="642"/>
      <c r="R244" s="642"/>
      <c r="S244" s="642"/>
      <c r="T244" s="328"/>
      <c r="U244" s="230"/>
      <c r="V244" s="230"/>
      <c r="W244" s="230"/>
      <c r="X244" s="866"/>
      <c r="Y244" s="866"/>
      <c r="Z244" s="230"/>
      <c r="AA244" s="230"/>
      <c r="AB244" s="230"/>
      <c r="AD244" s="230"/>
      <c r="AE244" s="265"/>
      <c r="AF244" s="265"/>
      <c r="AG244" s="230"/>
      <c r="AH244" s="230"/>
      <c r="AI244" s="265"/>
      <c r="AJ244" s="265"/>
    </row>
    <row r="245" spans="1:36" hidden="1" x14ac:dyDescent="0.25">
      <c r="A245" s="69"/>
      <c r="B245" s="69"/>
      <c r="C245" s="69"/>
      <c r="D245" s="68"/>
      <c r="E245" s="69"/>
      <c r="F245" s="68"/>
      <c r="G245" s="68"/>
      <c r="H245" s="68"/>
      <c r="I245" s="68"/>
      <c r="J245" s="68"/>
      <c r="K245" s="97"/>
      <c r="L245" s="68"/>
      <c r="M245" s="131">
        <v>0.2</v>
      </c>
      <c r="N245" s="68"/>
      <c r="O245" s="23"/>
      <c r="P245" s="23"/>
      <c r="Q245" s="642"/>
      <c r="R245" s="642"/>
      <c r="S245" s="642"/>
      <c r="T245" s="328"/>
      <c r="U245" s="230"/>
      <c r="V245" s="230"/>
      <c r="W245" s="230"/>
      <c r="X245" s="866"/>
      <c r="Y245" s="866"/>
      <c r="Z245" s="230"/>
      <c r="AA245" s="230"/>
      <c r="AB245" s="230"/>
      <c r="AD245" s="230"/>
      <c r="AE245" s="265"/>
      <c r="AF245" s="265"/>
      <c r="AG245" s="230"/>
      <c r="AH245" s="230"/>
      <c r="AI245" s="265"/>
      <c r="AJ245" s="265"/>
    </row>
    <row r="246" spans="1:36" hidden="1" x14ac:dyDescent="0.25">
      <c r="A246" s="69"/>
      <c r="B246" s="69"/>
      <c r="C246" s="69"/>
      <c r="D246" s="68"/>
      <c r="E246" s="69"/>
      <c r="F246" s="68"/>
      <c r="G246" s="68"/>
      <c r="H246" s="68"/>
      <c r="I246" s="68"/>
      <c r="J246" s="68"/>
      <c r="K246" s="97"/>
      <c r="L246" s="68"/>
      <c r="M246" s="131">
        <v>0.25</v>
      </c>
      <c r="N246" s="68"/>
      <c r="O246" s="23"/>
      <c r="P246" s="23"/>
      <c r="Q246" s="642"/>
      <c r="R246" s="642"/>
      <c r="S246" s="642"/>
      <c r="T246" s="328"/>
      <c r="U246" s="230"/>
      <c r="V246" s="230"/>
      <c r="W246" s="230"/>
      <c r="X246" s="866"/>
      <c r="Y246" s="866"/>
      <c r="Z246" s="230"/>
      <c r="AA246" s="230"/>
      <c r="AB246" s="230"/>
      <c r="AD246" s="230"/>
      <c r="AE246" s="265"/>
      <c r="AF246" s="265"/>
      <c r="AG246" s="230"/>
      <c r="AH246" s="230"/>
      <c r="AI246" s="265"/>
      <c r="AJ246" s="265"/>
    </row>
    <row r="247" spans="1:36" hidden="1" x14ac:dyDescent="0.25">
      <c r="A247" s="69"/>
      <c r="B247" s="69"/>
      <c r="C247" s="69"/>
      <c r="D247" s="68"/>
      <c r="E247" s="69"/>
      <c r="F247" s="68"/>
      <c r="G247" s="68"/>
      <c r="H247" s="68"/>
      <c r="I247" s="68"/>
      <c r="J247" s="68"/>
      <c r="K247" s="97"/>
      <c r="L247" s="68"/>
      <c r="M247" s="131">
        <v>0.26</v>
      </c>
      <c r="N247" s="68"/>
      <c r="O247" s="23"/>
      <c r="P247" s="23"/>
      <c r="Q247" s="642"/>
      <c r="R247" s="642"/>
      <c r="S247" s="642"/>
      <c r="T247" s="328"/>
      <c r="U247" s="230"/>
      <c r="V247" s="230"/>
      <c r="W247" s="230"/>
      <c r="X247" s="866"/>
      <c r="Y247" s="866"/>
      <c r="Z247" s="230"/>
      <c r="AA247" s="230"/>
      <c r="AB247" s="230"/>
      <c r="AD247" s="230"/>
      <c r="AE247" s="265"/>
      <c r="AF247" s="265"/>
      <c r="AG247" s="230"/>
      <c r="AH247" s="230"/>
      <c r="AI247" s="265"/>
      <c r="AJ247" s="265"/>
    </row>
    <row r="248" spans="1:36" hidden="1" x14ac:dyDescent="0.25">
      <c r="A248" s="69"/>
      <c r="B248" s="69"/>
      <c r="C248" s="69"/>
      <c r="D248" s="68"/>
      <c r="E248" s="69"/>
      <c r="F248" s="68"/>
      <c r="G248" s="68"/>
      <c r="H248" s="68"/>
      <c r="I248" s="68"/>
      <c r="J248" s="68"/>
      <c r="K248" s="97"/>
      <c r="L248" s="68"/>
      <c r="M248" s="131">
        <v>0.3</v>
      </c>
      <c r="N248" s="68"/>
      <c r="O248" s="23"/>
      <c r="P248" s="23"/>
      <c r="Q248" s="642"/>
      <c r="R248" s="642"/>
      <c r="S248" s="642"/>
      <c r="T248" s="328"/>
      <c r="U248" s="230"/>
      <c r="V248" s="230"/>
      <c r="W248" s="230"/>
      <c r="X248" s="866"/>
      <c r="Y248" s="866"/>
      <c r="Z248" s="230"/>
      <c r="AA248" s="230"/>
      <c r="AB248" s="230"/>
      <c r="AD248" s="230"/>
      <c r="AE248" s="265"/>
      <c r="AF248" s="265"/>
      <c r="AG248" s="230"/>
      <c r="AH248" s="230"/>
      <c r="AI248" s="265"/>
      <c r="AJ248" s="265"/>
    </row>
    <row r="249" spans="1:36" s="867" customFormat="1" hidden="1" x14ac:dyDescent="0.25">
      <c r="A249" s="69"/>
      <c r="B249" s="69"/>
      <c r="C249" s="69"/>
      <c r="D249" s="68"/>
      <c r="E249" s="69"/>
      <c r="F249" s="68"/>
      <c r="G249" s="68"/>
      <c r="H249" s="68"/>
      <c r="I249" s="68"/>
      <c r="J249" s="68"/>
      <c r="K249" s="97"/>
      <c r="L249" s="68"/>
      <c r="M249" s="131">
        <v>0.33500000000000002</v>
      </c>
      <c r="N249" s="68"/>
      <c r="O249" s="23"/>
      <c r="P249" s="23"/>
      <c r="Q249" s="642"/>
      <c r="R249" s="642"/>
      <c r="S249" s="642"/>
      <c r="T249" s="328"/>
      <c r="U249" s="866"/>
      <c r="V249" s="866"/>
      <c r="W249" s="866"/>
      <c r="X249" s="866"/>
      <c r="Y249" s="866"/>
      <c r="Z249" s="866"/>
      <c r="AA249" s="866"/>
      <c r="AB249" s="866"/>
      <c r="AD249" s="866"/>
      <c r="AE249" s="868"/>
      <c r="AF249" s="868"/>
      <c r="AG249" s="866"/>
      <c r="AH249" s="866"/>
      <c r="AI249" s="868"/>
      <c r="AJ249" s="868"/>
    </row>
    <row r="250" spans="1:36" hidden="1" x14ac:dyDescent="0.25">
      <c r="A250" s="69"/>
      <c r="B250" s="69"/>
      <c r="C250" s="69"/>
      <c r="D250" s="68"/>
      <c r="E250" s="69"/>
      <c r="F250" s="68"/>
      <c r="G250" s="68"/>
      <c r="H250" s="68"/>
      <c r="I250" s="68"/>
      <c r="J250" s="68"/>
      <c r="K250" s="97"/>
      <c r="L250" s="68"/>
      <c r="M250" s="131">
        <v>0.34</v>
      </c>
      <c r="N250" s="68"/>
      <c r="O250" s="23"/>
      <c r="P250" s="23"/>
      <c r="Q250" s="642"/>
      <c r="R250" s="642"/>
      <c r="S250" s="642"/>
      <c r="T250" s="328"/>
      <c r="U250" s="230"/>
      <c r="V250" s="230"/>
      <c r="W250" s="230"/>
      <c r="X250" s="866"/>
      <c r="Y250" s="866"/>
      <c r="Z250" s="230"/>
      <c r="AA250" s="230"/>
      <c r="AB250" s="230"/>
      <c r="AD250" s="230"/>
      <c r="AE250" s="265"/>
      <c r="AF250" s="265"/>
      <c r="AG250" s="230"/>
      <c r="AH250" s="230"/>
      <c r="AI250" s="265"/>
      <c r="AJ250" s="265"/>
    </row>
    <row r="251" spans="1:36" hidden="1" x14ac:dyDescent="0.25">
      <c r="A251" s="69"/>
      <c r="B251" s="69"/>
      <c r="C251" s="69"/>
      <c r="D251" s="68"/>
      <c r="E251" s="69"/>
      <c r="F251" s="68"/>
      <c r="G251" s="68"/>
      <c r="H251" s="68"/>
      <c r="I251" s="68"/>
      <c r="J251" s="68"/>
      <c r="K251" s="97"/>
      <c r="L251" s="68"/>
      <c r="M251" s="131">
        <v>0.35</v>
      </c>
      <c r="N251" s="68"/>
      <c r="O251" s="23"/>
      <c r="P251" s="23"/>
      <c r="Q251" s="642"/>
      <c r="R251" s="642"/>
      <c r="S251" s="642"/>
      <c r="T251" s="328"/>
      <c r="U251" s="230"/>
      <c r="V251" s="230"/>
      <c r="W251" s="230"/>
      <c r="X251" s="866"/>
      <c r="Y251" s="866"/>
      <c r="Z251" s="230"/>
      <c r="AA251" s="230"/>
      <c r="AB251" s="230"/>
      <c r="AD251" s="230"/>
      <c r="AE251" s="265"/>
      <c r="AF251" s="265"/>
      <c r="AG251" s="230"/>
      <c r="AH251" s="230"/>
      <c r="AI251" s="265"/>
      <c r="AJ251" s="265"/>
    </row>
    <row r="252" spans="1:36" s="867" customFormat="1" hidden="1" x14ac:dyDescent="0.25">
      <c r="A252" s="69"/>
      <c r="B252" s="69"/>
      <c r="C252" s="69"/>
      <c r="D252" s="68"/>
      <c r="E252" s="69"/>
      <c r="F252" s="68"/>
      <c r="G252" s="68"/>
      <c r="H252" s="68"/>
      <c r="I252" s="68"/>
      <c r="J252" s="68"/>
      <c r="K252" s="97"/>
      <c r="L252" s="68"/>
      <c r="M252" s="131">
        <v>0.376</v>
      </c>
      <c r="N252" s="68"/>
      <c r="O252" s="23"/>
      <c r="P252" s="23"/>
      <c r="Q252" s="642"/>
      <c r="R252" s="642"/>
      <c r="S252" s="642"/>
      <c r="T252" s="328"/>
      <c r="U252" s="866"/>
      <c r="V252" s="866"/>
      <c r="W252" s="866"/>
      <c r="X252" s="866"/>
      <c r="Y252" s="866"/>
      <c r="Z252" s="866"/>
      <c r="AA252" s="866"/>
      <c r="AB252" s="866"/>
      <c r="AD252" s="866"/>
      <c r="AE252" s="868"/>
      <c r="AF252" s="868"/>
      <c r="AG252" s="866"/>
      <c r="AH252" s="866"/>
      <c r="AI252" s="868"/>
      <c r="AJ252" s="868"/>
    </row>
    <row r="253" spans="1:36" hidden="1" x14ac:dyDescent="0.25">
      <c r="A253" s="69"/>
      <c r="B253" s="69"/>
      <c r="C253" s="69"/>
      <c r="D253" s="68"/>
      <c r="E253" s="69"/>
      <c r="F253" s="68"/>
      <c r="G253" s="68"/>
      <c r="H253" s="68"/>
      <c r="I253" s="68"/>
      <c r="J253" s="68"/>
      <c r="K253" s="97"/>
      <c r="L253" s="68"/>
      <c r="M253" s="131">
        <v>0.4</v>
      </c>
      <c r="N253" s="68"/>
      <c r="O253" s="23"/>
      <c r="P253" s="23"/>
      <c r="Q253" s="642"/>
      <c r="R253" s="642"/>
      <c r="S253" s="642"/>
      <c r="T253" s="328"/>
      <c r="U253" s="230"/>
      <c r="V253" s="230"/>
      <c r="W253" s="230"/>
      <c r="X253" s="866"/>
      <c r="Y253" s="866"/>
      <c r="Z253" s="230"/>
      <c r="AA253" s="230"/>
      <c r="AB253" s="230"/>
      <c r="AD253" s="230"/>
      <c r="AE253" s="265"/>
      <c r="AF253" s="265"/>
      <c r="AG253" s="230"/>
      <c r="AH253" s="230"/>
      <c r="AI253" s="265"/>
      <c r="AJ253" s="265"/>
    </row>
    <row r="254" spans="1:36" hidden="1" x14ac:dyDescent="0.25">
      <c r="A254" s="69"/>
      <c r="B254" s="69"/>
      <c r="C254" s="69"/>
      <c r="D254" s="68"/>
      <c r="E254" s="69"/>
      <c r="F254" s="68"/>
      <c r="G254" s="68"/>
      <c r="H254" s="68"/>
      <c r="I254" s="68"/>
      <c r="J254" s="68"/>
      <c r="K254" s="97"/>
      <c r="L254" s="68"/>
      <c r="M254" s="131">
        <v>0.41</v>
      </c>
      <c r="N254" s="68"/>
      <c r="O254" s="23"/>
      <c r="P254" s="23"/>
      <c r="Q254" s="642"/>
      <c r="R254" s="642"/>
      <c r="S254" s="642"/>
      <c r="T254" s="328"/>
      <c r="U254" s="230"/>
      <c r="V254" s="230"/>
      <c r="W254" s="230"/>
      <c r="X254" s="866"/>
      <c r="Y254" s="866"/>
      <c r="Z254" s="230"/>
      <c r="AA254" s="230"/>
      <c r="AB254" s="230"/>
      <c r="AD254" s="230"/>
      <c r="AE254" s="265"/>
      <c r="AF254" s="265"/>
      <c r="AG254" s="230"/>
      <c r="AH254" s="230"/>
      <c r="AI254" s="265"/>
      <c r="AJ254" s="265"/>
    </row>
    <row r="255" spans="1:36" s="867" customFormat="1" hidden="1" x14ac:dyDescent="0.25">
      <c r="A255" s="69"/>
      <c r="B255" s="69"/>
      <c r="C255" s="69"/>
      <c r="D255" s="68"/>
      <c r="E255" s="69"/>
      <c r="F255" s="68"/>
      <c r="G255" s="68"/>
      <c r="H255" s="68"/>
      <c r="I255" s="68"/>
      <c r="J255" s="68"/>
      <c r="K255" s="97"/>
      <c r="L255" s="68"/>
      <c r="M255" s="131">
        <v>0.69</v>
      </c>
      <c r="N255" s="68"/>
      <c r="O255" s="23"/>
      <c r="P255" s="23"/>
      <c r="Q255" s="642"/>
      <c r="R255" s="642"/>
      <c r="S255" s="642"/>
      <c r="T255" s="328"/>
      <c r="U255" s="866"/>
      <c r="V255" s="866"/>
      <c r="W255" s="866"/>
      <c r="X255" s="866"/>
      <c r="Y255" s="866"/>
      <c r="Z255" s="866"/>
      <c r="AA255" s="866"/>
      <c r="AB255" s="866"/>
      <c r="AD255" s="866"/>
      <c r="AE255" s="868"/>
      <c r="AF255" s="868"/>
      <c r="AG255" s="866"/>
      <c r="AH255" s="866"/>
      <c r="AI255" s="868"/>
      <c r="AJ255" s="868"/>
    </row>
    <row r="256" spans="1:36" ht="14.4" hidden="1" thickBot="1" x14ac:dyDescent="0.3">
      <c r="A256" s="69"/>
      <c r="B256" s="69"/>
      <c r="C256" s="69"/>
      <c r="D256" s="68"/>
      <c r="E256" s="69"/>
      <c r="F256" s="68"/>
      <c r="G256" s="68"/>
      <c r="H256" s="68"/>
      <c r="I256" s="68"/>
      <c r="J256" s="68"/>
      <c r="K256" s="97"/>
      <c r="L256" s="68"/>
      <c r="M256" s="132">
        <v>0.69499999999999995</v>
      </c>
      <c r="N256" s="68"/>
      <c r="O256" s="23"/>
      <c r="P256" s="23"/>
      <c r="Q256" s="642"/>
      <c r="R256" s="642"/>
      <c r="S256" s="642"/>
      <c r="T256" s="328"/>
      <c r="U256" s="230"/>
      <c r="V256" s="230"/>
      <c r="W256" s="230"/>
      <c r="X256" s="866"/>
      <c r="Y256" s="866"/>
      <c r="Z256" s="230"/>
      <c r="AA256" s="230"/>
      <c r="AB256" s="230"/>
      <c r="AD256" s="230"/>
      <c r="AE256" s="265"/>
      <c r="AF256" s="265"/>
      <c r="AG256" s="230"/>
      <c r="AH256" s="230"/>
      <c r="AI256" s="265"/>
      <c r="AJ256" s="265"/>
    </row>
    <row r="257" spans="1:36" ht="20.25" customHeight="1" thickTop="1" thickBot="1" x14ac:dyDescent="0.3">
      <c r="A257" s="1353" t="s">
        <v>587</v>
      </c>
      <c r="B257" s="1236"/>
      <c r="C257" s="322"/>
      <c r="D257" s="322"/>
      <c r="E257" s="322"/>
      <c r="F257" s="322"/>
      <c r="G257" s="322"/>
      <c r="H257" s="322"/>
      <c r="I257" s="322"/>
      <c r="J257" s="322"/>
      <c r="K257" s="323"/>
      <c r="L257" s="322"/>
      <c r="M257" s="320"/>
      <c r="N257" s="449"/>
      <c r="O257" s="23"/>
      <c r="P257" s="23"/>
      <c r="Q257" s="642"/>
      <c r="R257" s="642"/>
      <c r="S257" s="642"/>
      <c r="T257" s="328"/>
      <c r="U257" s="230"/>
      <c r="V257" s="230"/>
      <c r="W257" s="230"/>
      <c r="X257" s="866"/>
      <c r="Y257" s="866"/>
      <c r="Z257" s="230"/>
      <c r="AA257" s="230"/>
      <c r="AB257" s="230"/>
      <c r="AD257" s="230"/>
      <c r="AE257" s="265"/>
      <c r="AF257" s="265"/>
      <c r="AG257" s="230"/>
      <c r="AH257" s="230"/>
      <c r="AI257" s="265"/>
      <c r="AJ257" s="265"/>
    </row>
    <row r="258" spans="1:36" ht="16.5" customHeight="1" thickTop="1" thickBot="1" x14ac:dyDescent="0.3">
      <c r="A258" s="443"/>
      <c r="B258" s="443"/>
      <c r="C258" s="443"/>
      <c r="D258" s="443"/>
      <c r="E258" s="443"/>
      <c r="F258" s="443"/>
      <c r="G258" s="443"/>
      <c r="H258" s="443"/>
      <c r="I258" s="443"/>
      <c r="J258" s="443"/>
      <c r="K258" s="445"/>
      <c r="L258" s="443"/>
      <c r="M258" s="443"/>
      <c r="N258" s="328"/>
      <c r="O258" s="23"/>
      <c r="P258" s="23"/>
      <c r="Q258" s="642"/>
      <c r="R258" s="642"/>
      <c r="S258" s="642"/>
      <c r="T258" s="328"/>
      <c r="U258" s="230"/>
      <c r="V258" s="230"/>
      <c r="W258" s="230"/>
      <c r="X258" s="866"/>
      <c r="Y258" s="866"/>
      <c r="Z258" s="230"/>
      <c r="AA258" s="230"/>
      <c r="AB258" s="230"/>
      <c r="AD258" s="230"/>
      <c r="AE258" s="265"/>
      <c r="AF258" s="265"/>
      <c r="AG258" s="230"/>
      <c r="AH258" s="230"/>
      <c r="AI258" s="265"/>
      <c r="AJ258" s="265"/>
    </row>
    <row r="259" spans="1:36" ht="16.5" customHeight="1" thickTop="1" thickBot="1" x14ac:dyDescent="0.3">
      <c r="A259" s="1093" t="s">
        <v>538</v>
      </c>
      <c r="B259" s="1093"/>
      <c r="C259" s="438"/>
      <c r="D259" s="438"/>
      <c r="E259" s="438"/>
      <c r="F259" s="321" t="s">
        <v>60</v>
      </c>
      <c r="G259" s="438"/>
      <c r="H259" s="438"/>
      <c r="I259" s="438"/>
      <c r="J259" s="439"/>
      <c r="K259" s="439"/>
      <c r="L259" s="438"/>
      <c r="M259" s="321" t="s">
        <v>60</v>
      </c>
      <c r="N259" s="1048" t="s">
        <v>149</v>
      </c>
      <c r="O259" s="187"/>
      <c r="P259" s="187"/>
      <c r="Q259" s="642"/>
      <c r="R259" s="642"/>
      <c r="S259" s="642"/>
      <c r="T259" s="328"/>
      <c r="U259" s="230"/>
      <c r="V259" s="230"/>
      <c r="W259" s="230"/>
      <c r="X259" s="866"/>
      <c r="Y259" s="866"/>
      <c r="Z259" s="230"/>
      <c r="AA259" s="230"/>
      <c r="AB259" s="230"/>
      <c r="AD259" s="230"/>
      <c r="AE259" s="265"/>
      <c r="AF259" s="265"/>
      <c r="AG259" s="230"/>
      <c r="AH259" s="230"/>
      <c r="AI259" s="265"/>
      <c r="AJ259" s="265"/>
    </row>
    <row r="260" spans="1:36" ht="16.5" customHeight="1" thickTop="1" x14ac:dyDescent="0.25">
      <c r="A260" s="1093" t="s">
        <v>589</v>
      </c>
      <c r="B260" s="1093"/>
      <c r="C260" s="438"/>
      <c r="D260" s="438"/>
      <c r="E260" s="438"/>
      <c r="F260" s="438"/>
      <c r="G260" s="438"/>
      <c r="H260" s="438"/>
      <c r="I260" s="438"/>
      <c r="J260" s="438"/>
      <c r="K260" s="439"/>
      <c r="L260" s="438"/>
      <c r="M260" s="438"/>
      <c r="N260" s="1049" t="s">
        <v>150</v>
      </c>
      <c r="O260" s="187"/>
      <c r="P260" s="187"/>
      <c r="Q260" s="642"/>
      <c r="R260" s="642"/>
      <c r="S260" s="642"/>
      <c r="T260" s="328"/>
      <c r="U260" s="230"/>
      <c r="V260" s="230"/>
      <c r="W260" s="230"/>
      <c r="X260" s="866"/>
      <c r="Y260" s="866"/>
      <c r="Z260" s="230"/>
      <c r="AA260" s="230"/>
      <c r="AB260" s="230"/>
      <c r="AD260" s="230"/>
      <c r="AE260" s="265"/>
      <c r="AF260" s="265"/>
      <c r="AG260" s="230"/>
      <c r="AH260" s="230"/>
      <c r="AI260" s="265"/>
      <c r="AJ260" s="265"/>
    </row>
    <row r="261" spans="1:36" ht="16.5" customHeight="1" x14ac:dyDescent="0.25">
      <c r="A261" s="1093" t="s">
        <v>599</v>
      </c>
      <c r="B261" s="1093"/>
      <c r="C261" s="438"/>
      <c r="D261" s="438"/>
      <c r="E261" s="438"/>
      <c r="F261" s="438"/>
      <c r="G261" s="438"/>
      <c r="H261" s="438"/>
      <c r="I261" s="438"/>
      <c r="J261" s="438"/>
      <c r="K261" s="439"/>
      <c r="L261" s="438"/>
      <c r="M261" s="438"/>
      <c r="N261" s="320"/>
      <c r="O261" s="23"/>
      <c r="P261" s="23"/>
      <c r="Q261" s="642"/>
      <c r="R261" s="642"/>
      <c r="S261" s="642"/>
      <c r="T261" s="328"/>
      <c r="U261" s="230"/>
      <c r="V261" s="230"/>
      <c r="W261" s="230"/>
      <c r="X261" s="866"/>
      <c r="Y261" s="866"/>
      <c r="Z261" s="230"/>
      <c r="AA261" s="230"/>
      <c r="AB261" s="230"/>
      <c r="AD261" s="230"/>
      <c r="AE261" s="265"/>
      <c r="AF261" s="265"/>
      <c r="AG261" s="230"/>
      <c r="AH261" s="230"/>
      <c r="AI261" s="265"/>
      <c r="AJ261" s="265"/>
    </row>
    <row r="262" spans="1:36" ht="16.5" customHeight="1" x14ac:dyDescent="0.25">
      <c r="A262" s="1093" t="s">
        <v>596</v>
      </c>
      <c r="B262" s="1093"/>
      <c r="C262" s="438"/>
      <c r="D262" s="438"/>
      <c r="E262" s="438"/>
      <c r="F262" s="438"/>
      <c r="G262" s="438"/>
      <c r="H262" s="438"/>
      <c r="I262" s="438"/>
      <c r="J262" s="438"/>
      <c r="K262" s="439"/>
      <c r="L262" s="438"/>
      <c r="M262" s="438"/>
      <c r="N262" s="320"/>
      <c r="O262" s="23"/>
      <c r="P262" s="23"/>
      <c r="Q262" s="642"/>
      <c r="R262" s="642"/>
      <c r="S262" s="642"/>
      <c r="T262" s="328"/>
      <c r="U262" s="230"/>
      <c r="V262" s="230"/>
      <c r="W262" s="230"/>
      <c r="X262" s="866"/>
      <c r="Y262" s="866"/>
      <c r="Z262" s="230"/>
      <c r="AA262" s="230"/>
      <c r="AB262" s="230"/>
      <c r="AD262" s="230"/>
      <c r="AE262" s="265"/>
      <c r="AF262" s="265"/>
      <c r="AG262" s="230"/>
      <c r="AH262" s="230"/>
      <c r="AI262" s="265"/>
      <c r="AJ262" s="265"/>
    </row>
    <row r="263" spans="1:36" s="867" customFormat="1" ht="16.5" customHeight="1" x14ac:dyDescent="0.25">
      <c r="A263" s="1093" t="s">
        <v>598</v>
      </c>
      <c r="B263" s="1093"/>
      <c r="C263" s="438"/>
      <c r="D263" s="438"/>
      <c r="E263" s="438"/>
      <c r="F263" s="438"/>
      <c r="G263" s="438"/>
      <c r="H263" s="438"/>
      <c r="I263" s="438"/>
      <c r="J263" s="438"/>
      <c r="K263" s="439"/>
      <c r="L263" s="438"/>
      <c r="M263" s="438"/>
      <c r="N263" s="320"/>
      <c r="O263" s="23"/>
      <c r="P263" s="23"/>
      <c r="Q263" s="642"/>
      <c r="R263" s="642"/>
      <c r="S263" s="642"/>
      <c r="T263" s="328"/>
      <c r="U263" s="866"/>
      <c r="V263" s="866"/>
      <c r="W263" s="866"/>
      <c r="X263" s="866"/>
      <c r="Y263" s="866"/>
      <c r="Z263" s="866"/>
      <c r="AA263" s="866"/>
      <c r="AB263" s="866"/>
      <c r="AD263" s="866"/>
      <c r="AE263" s="868"/>
      <c r="AF263" s="868"/>
      <c r="AG263" s="866"/>
      <c r="AH263" s="866"/>
      <c r="AI263" s="868"/>
      <c r="AJ263" s="868"/>
    </row>
    <row r="264" spans="1:36" ht="16.5" customHeight="1" x14ac:dyDescent="0.25">
      <c r="A264" s="1093" t="s">
        <v>597</v>
      </c>
      <c r="B264" s="1093"/>
      <c r="C264" s="438"/>
      <c r="D264" s="438"/>
      <c r="E264" s="438"/>
      <c r="F264" s="438"/>
      <c r="G264" s="438"/>
      <c r="H264" s="438"/>
      <c r="I264" s="438"/>
      <c r="J264" s="438"/>
      <c r="K264" s="439"/>
      <c r="L264" s="438"/>
      <c r="M264" s="438"/>
      <c r="N264" s="320"/>
      <c r="O264" s="23"/>
      <c r="P264" s="23"/>
      <c r="Q264" s="642"/>
      <c r="R264" s="642"/>
      <c r="S264" s="642"/>
      <c r="T264" s="328"/>
      <c r="U264" s="230"/>
      <c r="V264" s="230"/>
      <c r="W264" s="230"/>
      <c r="X264" s="866"/>
      <c r="Y264" s="866"/>
      <c r="Z264" s="230"/>
      <c r="AA264" s="230"/>
      <c r="AB264" s="230"/>
      <c r="AD264" s="230"/>
      <c r="AE264" s="265"/>
      <c r="AF264" s="265"/>
      <c r="AG264" s="230"/>
      <c r="AH264" s="230"/>
      <c r="AI264" s="265"/>
      <c r="AJ264" s="265"/>
    </row>
    <row r="265" spans="1:36" x14ac:dyDescent="0.25">
      <c r="A265" s="450"/>
      <c r="B265" s="450"/>
      <c r="C265" s="450"/>
      <c r="D265" s="325"/>
      <c r="E265" s="450"/>
      <c r="F265" s="325"/>
      <c r="G265" s="325"/>
      <c r="H265" s="325"/>
      <c r="I265" s="325"/>
      <c r="J265" s="325"/>
      <c r="K265" s="325"/>
      <c r="L265" s="325"/>
      <c r="M265" s="325"/>
      <c r="N265" s="451"/>
      <c r="O265" s="191"/>
      <c r="P265" s="191"/>
      <c r="Q265" s="642"/>
      <c r="R265" s="642"/>
      <c r="S265" s="642"/>
      <c r="T265" s="328"/>
      <c r="U265" s="230"/>
      <c r="V265" s="230"/>
      <c r="W265" s="230"/>
      <c r="X265" s="866"/>
      <c r="Y265" s="866"/>
      <c r="Z265" s="230"/>
      <c r="AA265" s="230"/>
      <c r="AB265" s="230"/>
      <c r="AD265" s="230"/>
      <c r="AE265" s="265"/>
      <c r="AF265" s="265"/>
      <c r="AG265" s="230"/>
      <c r="AH265" s="230"/>
      <c r="AI265" s="265"/>
      <c r="AJ265" s="265"/>
    </row>
    <row r="266" spans="1:36" x14ac:dyDescent="0.25">
      <c r="A266" s="860"/>
      <c r="B266" s="860"/>
      <c r="C266" s="469"/>
      <c r="D266" s="470"/>
      <c r="E266" s="860"/>
      <c r="F266" s="470"/>
      <c r="G266" s="470"/>
      <c r="H266" s="470"/>
      <c r="I266" s="470"/>
      <c r="J266" s="861"/>
      <c r="K266" s="470"/>
      <c r="L266" s="470"/>
      <c r="M266" s="470"/>
      <c r="N266" s="470"/>
      <c r="O266" s="57"/>
      <c r="P266" s="57"/>
      <c r="Q266" s="305"/>
      <c r="R266" s="305"/>
      <c r="S266" s="642"/>
      <c r="T266" s="328"/>
      <c r="U266" s="230"/>
      <c r="V266" s="230"/>
      <c r="W266" s="230"/>
      <c r="X266" s="866"/>
      <c r="Y266" s="866"/>
      <c r="Z266" s="230"/>
      <c r="AA266" s="230"/>
      <c r="AB266" s="230"/>
      <c r="AD266" s="230"/>
      <c r="AE266" s="265"/>
      <c r="AF266" s="265"/>
      <c r="AG266" s="230"/>
      <c r="AH266" s="230"/>
      <c r="AI266" s="265"/>
      <c r="AJ266" s="265"/>
    </row>
    <row r="267" spans="1:36" s="867" customFormat="1" ht="14.4" x14ac:dyDescent="0.25">
      <c r="A267" s="897" t="s">
        <v>519</v>
      </c>
      <c r="B267" s="897"/>
      <c r="C267" s="883"/>
      <c r="D267" s="884"/>
      <c r="E267" s="883"/>
      <c r="F267" s="884"/>
      <c r="G267" s="884"/>
      <c r="H267" s="884"/>
      <c r="I267" s="884"/>
      <c r="J267" s="884"/>
      <c r="K267" s="884"/>
      <c r="L267" s="884"/>
      <c r="M267" s="884"/>
      <c r="N267" s="884"/>
      <c r="O267" s="57"/>
      <c r="P267" s="57"/>
      <c r="Q267" s="305"/>
      <c r="R267" s="305"/>
      <c r="S267" s="642"/>
      <c r="T267" s="328"/>
      <c r="U267" s="866"/>
      <c r="V267" s="866"/>
      <c r="W267" s="866"/>
      <c r="X267" s="866"/>
      <c r="Y267" s="866"/>
      <c r="Z267" s="866"/>
      <c r="AA267" s="866"/>
      <c r="AB267" s="866"/>
      <c r="AD267" s="866"/>
      <c r="AE267" s="868"/>
      <c r="AF267" s="868"/>
      <c r="AG267" s="866"/>
      <c r="AH267" s="866"/>
      <c r="AI267" s="868"/>
      <c r="AJ267" s="868"/>
    </row>
    <row r="268" spans="1:36" ht="14.4" thickBot="1" x14ac:dyDescent="0.3">
      <c r="A268" s="473"/>
      <c r="B268" s="857"/>
      <c r="C268" s="474"/>
      <c r="D268" s="475"/>
      <c r="E268" s="858"/>
      <c r="F268" s="475"/>
      <c r="G268" s="475"/>
      <c r="H268" s="475"/>
      <c r="I268" s="475"/>
      <c r="J268" s="859"/>
      <c r="K268" s="475"/>
      <c r="L268" s="475"/>
      <c r="M268" s="475"/>
      <c r="N268" s="475"/>
      <c r="O268" s="63"/>
      <c r="P268" s="63"/>
      <c r="Q268" s="642"/>
      <c r="R268" s="642"/>
      <c r="S268" s="642"/>
      <c r="T268" s="328"/>
      <c r="U268" s="230"/>
      <c r="V268" s="230"/>
      <c r="W268" s="230"/>
      <c r="X268" s="866"/>
      <c r="Y268" s="866"/>
      <c r="Z268" s="230"/>
      <c r="AA268" s="230"/>
      <c r="AB268" s="230"/>
      <c r="AC268" s="95"/>
      <c r="AD268" s="265"/>
      <c r="AE268" s="230"/>
      <c r="AF268" s="230"/>
      <c r="AG268" s="265"/>
      <c r="AH268" s="265"/>
      <c r="AI268" s="230"/>
      <c r="AJ268" s="230"/>
    </row>
    <row r="269" spans="1:36" x14ac:dyDescent="0.25">
      <c r="A269" s="453"/>
      <c r="B269" s="453"/>
      <c r="C269" s="328"/>
      <c r="D269" s="328"/>
      <c r="E269" s="328"/>
      <c r="F269" s="328"/>
      <c r="G269" s="328"/>
      <c r="H269" s="328"/>
      <c r="I269" s="328"/>
      <c r="J269" s="328"/>
      <c r="K269" s="328"/>
      <c r="L269" s="328"/>
      <c r="M269" s="328"/>
      <c r="N269" s="328"/>
      <c r="Q269" s="326"/>
      <c r="R269" s="640"/>
      <c r="S269" s="642"/>
      <c r="T269" s="328"/>
      <c r="U269" s="230"/>
      <c r="V269" s="230"/>
      <c r="W269" s="230"/>
      <c r="X269" s="866"/>
      <c r="Y269" s="866"/>
      <c r="Z269" s="230"/>
      <c r="AA269" s="230"/>
      <c r="AB269" s="230"/>
      <c r="AD269" s="230"/>
      <c r="AE269" s="265"/>
      <c r="AF269" s="265"/>
      <c r="AG269" s="230"/>
      <c r="AH269" s="230"/>
      <c r="AI269" s="265"/>
      <c r="AJ269" s="265"/>
    </row>
    <row r="270" spans="1:36" hidden="1" x14ac:dyDescent="0.25">
      <c r="A270" s="16"/>
      <c r="B270" s="16"/>
      <c r="Q270" s="326"/>
      <c r="R270" s="640"/>
      <c r="S270" s="642"/>
      <c r="T270" s="328"/>
      <c r="U270" s="230"/>
      <c r="V270" s="230"/>
      <c r="W270" s="230"/>
      <c r="X270" s="866"/>
      <c r="Y270" s="866"/>
      <c r="Z270" s="230"/>
      <c r="AA270" s="230"/>
      <c r="AB270" s="230"/>
      <c r="AD270" s="230"/>
      <c r="AE270" s="265"/>
      <c r="AF270" s="265"/>
      <c r="AG270" s="230"/>
      <c r="AH270" s="230"/>
      <c r="AI270" s="265"/>
      <c r="AJ270" s="265"/>
    </row>
    <row r="271" spans="1:36" hidden="1" x14ac:dyDescent="0.25">
      <c r="A271" s="65"/>
      <c r="B271" s="65"/>
      <c r="C271" s="65"/>
      <c r="D271" s="76"/>
      <c r="E271" s="65"/>
      <c r="F271" s="76"/>
      <c r="G271" s="76"/>
      <c r="H271" s="76"/>
      <c r="I271" s="76"/>
      <c r="J271" s="880"/>
      <c r="K271" s="76"/>
      <c r="L271" s="76"/>
      <c r="M271" s="76"/>
      <c r="N271" s="76"/>
      <c r="Q271" s="326"/>
      <c r="R271" s="640"/>
      <c r="S271" s="642"/>
      <c r="T271" s="328"/>
      <c r="U271" s="230"/>
      <c r="V271" s="230"/>
      <c r="W271" s="230"/>
      <c r="X271" s="866"/>
      <c r="Y271" s="866"/>
      <c r="Z271" s="230"/>
      <c r="AA271" s="230"/>
      <c r="AB271" s="230"/>
      <c r="AD271" s="230"/>
      <c r="AE271" s="265"/>
      <c r="AF271" s="265"/>
      <c r="AG271" s="230"/>
      <c r="AH271" s="230"/>
      <c r="AI271" s="265"/>
      <c r="AJ271" s="265"/>
    </row>
    <row r="272" spans="1:36" hidden="1" x14ac:dyDescent="0.25">
      <c r="A272" s="77"/>
      <c r="B272" s="1346"/>
      <c r="C272" s="78"/>
      <c r="D272" s="79" t="s">
        <v>64</v>
      </c>
      <c r="E272" s="881"/>
      <c r="F272" s="76"/>
      <c r="G272" s="76"/>
      <c r="H272" s="76"/>
      <c r="I272" s="76"/>
      <c r="J272" s="880"/>
      <c r="K272" s="76"/>
      <c r="L272" s="80"/>
      <c r="M272" s="76"/>
      <c r="N272" s="81"/>
      <c r="O272" s="201"/>
      <c r="P272" s="201"/>
      <c r="Q272" s="326"/>
      <c r="R272" s="640"/>
      <c r="S272" s="642"/>
      <c r="T272" s="328"/>
      <c r="U272" s="230"/>
      <c r="V272" s="230"/>
      <c r="W272" s="230"/>
      <c r="X272" s="866"/>
      <c r="Y272" s="866"/>
      <c r="Z272" s="230"/>
      <c r="AA272" s="230"/>
      <c r="AB272" s="230"/>
      <c r="AD272" s="230"/>
      <c r="AE272" s="265"/>
      <c r="AF272" s="265"/>
      <c r="AG272" s="230"/>
      <c r="AH272" s="230"/>
      <c r="AI272" s="265"/>
      <c r="AJ272" s="265"/>
    </row>
    <row r="273" spans="1:36" hidden="1" x14ac:dyDescent="0.25">
      <c r="A273" s="82"/>
      <c r="B273" s="881"/>
      <c r="C273" s="83"/>
      <c r="D273" s="84">
        <v>0</v>
      </c>
      <c r="E273" s="881"/>
      <c r="F273" s="76"/>
      <c r="G273" s="76"/>
      <c r="H273" s="76"/>
      <c r="I273" s="76"/>
      <c r="J273" s="880"/>
      <c r="K273" s="76"/>
      <c r="L273" s="71"/>
      <c r="M273" s="76"/>
      <c r="N273" s="76"/>
      <c r="Q273" s="326"/>
      <c r="R273" s="640"/>
      <c r="S273" s="642"/>
      <c r="T273" s="328"/>
      <c r="U273" s="230"/>
      <c r="V273" s="230"/>
      <c r="W273" s="230"/>
      <c r="X273" s="866"/>
      <c r="Y273" s="866"/>
      <c r="Z273" s="230"/>
      <c r="AA273" s="230"/>
      <c r="AB273" s="230"/>
      <c r="AD273" s="230"/>
      <c r="AE273" s="265"/>
      <c r="AF273" s="265"/>
      <c r="AG273" s="230"/>
      <c r="AH273" s="230"/>
      <c r="AI273" s="265"/>
      <c r="AJ273" s="265"/>
    </row>
    <row r="274" spans="1:36" hidden="1" x14ac:dyDescent="0.25">
      <c r="A274" s="85"/>
      <c r="B274" s="1347"/>
      <c r="C274" s="86"/>
      <c r="D274" s="87">
        <v>25000</v>
      </c>
      <c r="E274" s="881"/>
      <c r="F274" s="76"/>
      <c r="G274" s="76"/>
      <c r="H274" s="76"/>
      <c r="I274" s="76"/>
      <c r="J274" s="880"/>
      <c r="K274" s="76"/>
      <c r="L274" s="71"/>
      <c r="M274" s="76"/>
      <c r="N274" s="76"/>
      <c r="Q274" s="326"/>
      <c r="R274" s="640"/>
      <c r="S274" s="642"/>
      <c r="T274" s="328"/>
      <c r="U274" s="230"/>
      <c r="V274" s="230"/>
      <c r="W274" s="230"/>
      <c r="X274" s="866"/>
      <c r="Y274" s="866"/>
      <c r="Z274" s="230"/>
      <c r="AA274" s="230"/>
      <c r="AB274" s="230"/>
      <c r="AD274" s="230"/>
      <c r="AE274" s="265"/>
      <c r="AF274" s="265"/>
      <c r="AG274" s="230"/>
      <c r="AH274" s="230"/>
      <c r="AI274" s="265"/>
      <c r="AJ274" s="265"/>
    </row>
    <row r="275" spans="1:36" hidden="1" x14ac:dyDescent="0.25">
      <c r="A275" s="76"/>
      <c r="B275" s="880"/>
      <c r="C275" s="76"/>
      <c r="D275" s="87">
        <v>50000</v>
      </c>
      <c r="E275" s="880"/>
      <c r="F275" s="70"/>
      <c r="G275" s="76"/>
      <c r="H275" s="70"/>
      <c r="I275" s="70"/>
      <c r="J275" s="70"/>
      <c r="K275" s="76"/>
      <c r="L275" s="76"/>
      <c r="M275" s="76"/>
      <c r="N275" s="76"/>
      <c r="Q275" s="326"/>
      <c r="R275" s="640"/>
      <c r="S275" s="642"/>
      <c r="T275" s="328"/>
      <c r="U275" s="230"/>
      <c r="V275" s="230"/>
      <c r="W275" s="230"/>
      <c r="X275" s="866"/>
      <c r="Y275" s="866"/>
      <c r="Z275" s="230"/>
      <c r="AA275" s="230"/>
      <c r="AB275" s="230"/>
      <c r="AD275" s="230"/>
      <c r="AE275" s="265"/>
      <c r="AF275" s="265"/>
      <c r="AG275" s="230"/>
      <c r="AH275" s="230"/>
      <c r="AI275" s="265"/>
      <c r="AJ275" s="265"/>
    </row>
    <row r="276" spans="1:36" hidden="1" x14ac:dyDescent="0.25">
      <c r="A276" s="72" t="s">
        <v>63</v>
      </c>
      <c r="B276" s="72"/>
      <c r="C276" s="76"/>
      <c r="D276" s="87">
        <v>75000</v>
      </c>
      <c r="E276" s="880"/>
      <c r="F276" s="70"/>
      <c r="G276" s="76"/>
      <c r="H276" s="70"/>
      <c r="I276" s="70"/>
      <c r="J276" s="70"/>
      <c r="K276" s="76"/>
      <c r="L276" s="76"/>
      <c r="M276" s="76"/>
      <c r="N276" s="76"/>
      <c r="Q276" s="326"/>
      <c r="R276" s="640"/>
      <c r="S276" s="642"/>
      <c r="T276" s="328"/>
      <c r="U276" s="230"/>
      <c r="V276" s="230"/>
      <c r="W276" s="230"/>
      <c r="X276" s="866"/>
      <c r="Y276" s="866"/>
      <c r="Z276" s="230"/>
      <c r="AA276" s="230"/>
      <c r="AB276" s="230"/>
      <c r="AD276" s="230"/>
      <c r="AE276" s="265"/>
      <c r="AF276" s="265"/>
      <c r="AG276" s="230"/>
      <c r="AH276" s="230"/>
      <c r="AI276" s="265"/>
      <c r="AJ276" s="265"/>
    </row>
    <row r="277" spans="1:36" hidden="1" x14ac:dyDescent="0.25">
      <c r="A277" s="74" t="s">
        <v>59</v>
      </c>
      <c r="B277" s="881"/>
      <c r="C277" s="76"/>
      <c r="D277" s="87">
        <v>100000</v>
      </c>
      <c r="E277" s="880"/>
      <c r="F277" s="70"/>
      <c r="G277" s="76"/>
      <c r="H277" s="70"/>
      <c r="I277" s="70"/>
      <c r="J277" s="70"/>
      <c r="K277" s="76"/>
      <c r="L277" s="76"/>
      <c r="M277" s="76"/>
      <c r="N277" s="76"/>
      <c r="Q277" s="326"/>
      <c r="R277" s="640"/>
      <c r="S277" s="642"/>
      <c r="T277" s="328"/>
      <c r="U277" s="230"/>
      <c r="V277" s="230"/>
      <c r="W277" s="230"/>
      <c r="X277" s="866"/>
      <c r="Y277" s="866"/>
      <c r="Z277" s="230"/>
      <c r="AA277" s="230"/>
      <c r="AB277" s="230"/>
      <c r="AD277" s="230"/>
      <c r="AE277" s="265"/>
      <c r="AF277" s="265"/>
      <c r="AG277" s="230"/>
      <c r="AH277" s="230"/>
      <c r="AI277" s="265"/>
      <c r="AJ277" s="265"/>
    </row>
    <row r="278" spans="1:36" hidden="1" x14ac:dyDescent="0.25">
      <c r="A278" s="74" t="s">
        <v>60</v>
      </c>
      <c r="B278" s="881"/>
      <c r="C278" s="76"/>
      <c r="D278" s="87">
        <v>125000</v>
      </c>
      <c r="E278" s="880"/>
      <c r="F278" s="70"/>
      <c r="G278" s="76"/>
      <c r="H278" s="70"/>
      <c r="I278" s="70"/>
      <c r="J278" s="70"/>
      <c r="K278" s="76"/>
      <c r="L278" s="76"/>
      <c r="M278" s="76"/>
      <c r="N278" s="76"/>
      <c r="Q278" s="326"/>
      <c r="R278" s="640"/>
      <c r="S278" s="642"/>
      <c r="T278" s="328"/>
      <c r="U278" s="230"/>
      <c r="V278" s="230"/>
      <c r="W278" s="230"/>
      <c r="X278" s="866"/>
      <c r="Y278" s="866"/>
      <c r="Z278" s="230"/>
      <c r="AA278" s="230"/>
      <c r="AB278" s="230"/>
      <c r="AD278" s="230"/>
      <c r="AE278" s="265"/>
      <c r="AF278" s="265"/>
      <c r="AG278" s="230"/>
      <c r="AH278" s="230"/>
      <c r="AI278" s="265"/>
      <c r="AJ278" s="265"/>
    </row>
    <row r="279" spans="1:36" hidden="1" x14ac:dyDescent="0.25">
      <c r="A279" s="76"/>
      <c r="B279" s="880"/>
      <c r="C279" s="76"/>
      <c r="D279" s="87">
        <v>150000</v>
      </c>
      <c r="E279" s="880"/>
      <c r="F279" s="70"/>
      <c r="G279" s="76"/>
      <c r="H279" s="70"/>
      <c r="I279" s="70"/>
      <c r="J279" s="70"/>
      <c r="K279" s="76"/>
      <c r="L279" s="76"/>
      <c r="M279" s="76"/>
      <c r="N279" s="76"/>
      <c r="Q279" s="326"/>
      <c r="R279" s="640"/>
      <c r="S279" s="642"/>
      <c r="T279" s="328"/>
      <c r="U279" s="230"/>
      <c r="V279" s="230"/>
      <c r="W279" s="230"/>
      <c r="X279" s="866"/>
      <c r="Y279" s="866"/>
      <c r="Z279" s="230"/>
      <c r="AA279" s="230"/>
      <c r="AB279" s="230"/>
      <c r="AD279" s="230"/>
      <c r="AE279" s="265"/>
      <c r="AF279" s="265"/>
      <c r="AG279" s="230"/>
      <c r="AH279" s="230"/>
      <c r="AI279" s="265"/>
      <c r="AJ279" s="265"/>
    </row>
    <row r="280" spans="1:36" hidden="1" x14ac:dyDescent="0.25">
      <c r="A280" s="76"/>
      <c r="B280" s="880"/>
      <c r="C280" s="76"/>
      <c r="D280" s="87">
        <v>175000</v>
      </c>
      <c r="E280" s="880"/>
      <c r="F280" s="70"/>
      <c r="G280" s="76"/>
      <c r="H280" s="70"/>
      <c r="I280" s="70"/>
      <c r="J280" s="70"/>
      <c r="K280" s="76"/>
      <c r="L280" s="76"/>
      <c r="M280" s="76"/>
      <c r="N280" s="76"/>
      <c r="Q280" s="326"/>
      <c r="R280" s="640"/>
      <c r="S280" s="642"/>
      <c r="T280" s="328"/>
      <c r="U280" s="230"/>
      <c r="V280" s="230"/>
      <c r="W280" s="230"/>
      <c r="X280" s="866"/>
      <c r="Y280" s="866"/>
      <c r="Z280" s="230"/>
      <c r="AA280" s="230"/>
      <c r="AB280" s="230"/>
      <c r="AD280" s="230"/>
      <c r="AE280" s="265"/>
      <c r="AF280" s="265"/>
      <c r="AG280" s="230"/>
      <c r="AH280" s="230"/>
      <c r="AI280" s="265"/>
      <c r="AJ280" s="265"/>
    </row>
    <row r="281" spans="1:36" hidden="1" x14ac:dyDescent="0.25">
      <c r="A281" s="76"/>
      <c r="B281" s="880"/>
      <c r="C281" s="76"/>
      <c r="D281" s="87">
        <v>200000</v>
      </c>
      <c r="E281" s="880"/>
      <c r="F281" s="70"/>
      <c r="G281" s="76"/>
      <c r="H281" s="70"/>
      <c r="I281" s="70"/>
      <c r="J281" s="70"/>
      <c r="K281" s="76"/>
      <c r="L281" s="76"/>
      <c r="M281" s="76"/>
      <c r="N281" s="76"/>
      <c r="Q281" s="326"/>
      <c r="R281" s="640"/>
      <c r="S281" s="642"/>
      <c r="T281" s="328"/>
      <c r="U281" s="230"/>
      <c r="V281" s="230"/>
      <c r="W281" s="230"/>
      <c r="X281" s="866"/>
      <c r="Y281" s="866"/>
      <c r="Z281" s="230"/>
      <c r="AA281" s="230"/>
      <c r="AB281" s="230"/>
      <c r="AD281" s="230"/>
      <c r="AE281" s="265"/>
      <c r="AF281" s="265"/>
      <c r="AG281" s="230"/>
      <c r="AH281" s="230"/>
      <c r="AI281" s="265"/>
      <c r="AJ281" s="265"/>
    </row>
    <row r="282" spans="1:36" hidden="1" x14ac:dyDescent="0.25">
      <c r="A282" s="76"/>
      <c r="B282" s="880"/>
      <c r="C282" s="76"/>
      <c r="D282" s="87">
        <v>225000</v>
      </c>
      <c r="E282" s="880"/>
      <c r="F282" s="70"/>
      <c r="G282" s="76"/>
      <c r="H282" s="70"/>
      <c r="I282" s="70"/>
      <c r="J282" s="70"/>
      <c r="K282" s="76"/>
      <c r="L282" s="76"/>
      <c r="M282" s="76"/>
      <c r="N282" s="76"/>
      <c r="Q282" s="326"/>
      <c r="R282" s="640"/>
      <c r="S282" s="642"/>
      <c r="T282" s="328"/>
      <c r="U282" s="230"/>
      <c r="V282" s="230"/>
      <c r="W282" s="230"/>
      <c r="X282" s="866"/>
      <c r="Y282" s="866"/>
      <c r="Z282" s="230"/>
      <c r="AA282" s="230"/>
      <c r="AB282" s="230"/>
      <c r="AD282" s="230"/>
      <c r="AE282" s="265"/>
      <c r="AF282" s="265"/>
      <c r="AG282" s="230"/>
      <c r="AH282" s="230"/>
      <c r="AI282" s="265"/>
      <c r="AJ282" s="265"/>
    </row>
    <row r="283" spans="1:36" hidden="1" x14ac:dyDescent="0.25">
      <c r="A283" s="76"/>
      <c r="B283" s="880"/>
      <c r="C283" s="76"/>
      <c r="D283" s="87">
        <v>250000</v>
      </c>
      <c r="E283" s="880"/>
      <c r="F283" s="70"/>
      <c r="G283" s="76"/>
      <c r="H283" s="70"/>
      <c r="I283" s="70"/>
      <c r="J283" s="70"/>
      <c r="K283" s="76"/>
      <c r="L283" s="76"/>
      <c r="M283" s="76"/>
      <c r="N283" s="76"/>
      <c r="Q283" s="326"/>
      <c r="R283" s="640"/>
      <c r="S283" s="642"/>
      <c r="T283" s="328"/>
      <c r="U283" s="230"/>
      <c r="V283" s="230"/>
      <c r="W283" s="230"/>
      <c r="X283" s="866"/>
      <c r="Y283" s="866"/>
      <c r="Z283" s="230"/>
      <c r="AA283" s="230"/>
      <c r="AB283" s="230"/>
      <c r="AD283" s="230"/>
      <c r="AE283" s="265"/>
      <c r="AF283" s="265"/>
      <c r="AG283" s="230"/>
      <c r="AH283" s="230"/>
      <c r="AI283" s="265"/>
      <c r="AJ283" s="265"/>
    </row>
    <row r="284" spans="1:36" ht="14.4" hidden="1" thickBot="1" x14ac:dyDescent="0.3">
      <c r="A284" s="76"/>
      <c r="B284" s="880"/>
      <c r="C284" s="76"/>
      <c r="D284" s="70"/>
      <c r="E284" s="880"/>
      <c r="F284" s="70"/>
      <c r="G284" s="76"/>
      <c r="H284" s="70"/>
      <c r="I284" s="70"/>
      <c r="J284" s="70"/>
      <c r="K284" s="76"/>
      <c r="L284" s="76"/>
      <c r="M284" s="76"/>
      <c r="N284" s="76"/>
      <c r="Q284" s="326"/>
      <c r="R284" s="640"/>
      <c r="S284" s="642"/>
      <c r="T284" s="328"/>
      <c r="U284" s="230"/>
      <c r="V284" s="230"/>
      <c r="W284" s="230"/>
      <c r="X284" s="866"/>
      <c r="Y284" s="866"/>
      <c r="Z284" s="230"/>
      <c r="AA284" s="230"/>
      <c r="AB284" s="230"/>
      <c r="AD284" s="230"/>
      <c r="AE284" s="265"/>
      <c r="AF284" s="265"/>
      <c r="AG284" s="230"/>
      <c r="AH284" s="230"/>
      <c r="AI284" s="265"/>
      <c r="AJ284" s="265"/>
    </row>
    <row r="285" spans="1:36" ht="15" hidden="1" thickTop="1" thickBot="1" x14ac:dyDescent="0.3">
      <c r="A285" s="1487" t="str">
        <f>SetUp!A4:B4</f>
        <v>1.  Is the source of the funding federal?</v>
      </c>
      <c r="B285" s="1487"/>
      <c r="C285" s="1487"/>
      <c r="D285" s="76"/>
      <c r="E285" s="1281"/>
      <c r="F285" s="76"/>
      <c r="G285" s="171" t="str">
        <f>SetUp!C4</f>
        <v>Yes</v>
      </c>
      <c r="H285" s="76"/>
      <c r="I285" s="76"/>
      <c r="J285" s="880"/>
      <c r="K285" s="76"/>
      <c r="L285" s="76"/>
      <c r="M285" s="76"/>
      <c r="N285" s="76"/>
      <c r="Q285" s="230"/>
      <c r="R285" s="642"/>
      <c r="S285" s="642"/>
      <c r="T285" s="328"/>
      <c r="U285" s="230"/>
      <c r="V285" s="230"/>
      <c r="W285" s="230"/>
      <c r="X285" s="866"/>
      <c r="Y285" s="866"/>
      <c r="Z285" s="230"/>
      <c r="AA285" s="230"/>
      <c r="AB285" s="230"/>
      <c r="AD285" s="230"/>
      <c r="AE285" s="230"/>
      <c r="AF285" s="230"/>
      <c r="AG285" s="230"/>
      <c r="AH285" s="230"/>
      <c r="AI285" s="230"/>
      <c r="AJ285" s="230"/>
    </row>
    <row r="286" spans="1:36" ht="15" hidden="1" thickTop="1" thickBot="1" x14ac:dyDescent="0.3">
      <c r="A286" s="65"/>
      <c r="B286" s="65"/>
      <c r="C286" s="65"/>
      <c r="D286" s="76"/>
      <c r="E286" s="65"/>
      <c r="F286" s="76"/>
      <c r="G286" s="76"/>
      <c r="H286" s="76"/>
      <c r="I286" s="76"/>
      <c r="J286" s="880"/>
      <c r="K286" s="76"/>
      <c r="L286" s="76"/>
      <c r="M286" s="76"/>
      <c r="N286" s="76"/>
      <c r="Q286" s="230"/>
      <c r="R286" s="642"/>
      <c r="S286" s="642"/>
      <c r="T286" s="328"/>
      <c r="U286" s="230"/>
      <c r="V286" s="230"/>
      <c r="W286" s="230"/>
      <c r="X286" s="866"/>
      <c r="Y286" s="866"/>
      <c r="Z286" s="230"/>
      <c r="AA286" s="230"/>
      <c r="AB286" s="230"/>
      <c r="AD286" s="230"/>
      <c r="AE286" s="230"/>
      <c r="AF286" s="230"/>
      <c r="AG286" s="230"/>
      <c r="AH286" s="230"/>
      <c r="AI286" s="230"/>
      <c r="AJ286" s="230"/>
    </row>
    <row r="287" spans="1:36" ht="15" hidden="1" thickTop="1" thickBot="1" x14ac:dyDescent="0.3">
      <c r="A287" s="65" t="str">
        <f>'Y1'!A104</f>
        <v>1.  Is this a NIH modular budget?</v>
      </c>
      <c r="B287" s="65"/>
      <c r="C287" s="65"/>
      <c r="D287" s="76"/>
      <c r="E287" s="65"/>
      <c r="F287" s="76"/>
      <c r="G287" s="202" t="str">
        <f>'Y1'!L104</f>
        <v>No</v>
      </c>
      <c r="H287" s="76"/>
      <c r="I287" s="76"/>
      <c r="J287" s="880"/>
      <c r="K287" s="76"/>
      <c r="L287" s="76"/>
      <c r="M287" s="76"/>
      <c r="N287" s="76"/>
      <c r="Q287" s="230"/>
      <c r="R287" s="642"/>
      <c r="S287" s="642"/>
      <c r="T287" s="328"/>
      <c r="U287" s="230"/>
      <c r="V287" s="230"/>
      <c r="W287" s="230"/>
      <c r="X287" s="866"/>
      <c r="Y287" s="866"/>
      <c r="Z287" s="230"/>
      <c r="AA287" s="230"/>
      <c r="AB287" s="230"/>
      <c r="AD287" s="230"/>
      <c r="AE287" s="230"/>
      <c r="AF287" s="230"/>
      <c r="AG287" s="230"/>
      <c r="AH287" s="230"/>
      <c r="AI287" s="230"/>
      <c r="AJ287" s="230"/>
    </row>
    <row r="288" spans="1:36" ht="14.4" hidden="1" thickTop="1" x14ac:dyDescent="0.25">
      <c r="A288" s="65" t="str">
        <f>'Y1'!A105</f>
        <v xml:space="preserve">       If Yes, please choose a module from the drop down menu in the "NIH Modular Amount" box. Also choosing Yes will allow the form to calculate F&amp;A on the modular amount.</v>
      </c>
      <c r="B288" s="65"/>
      <c r="C288" s="65"/>
      <c r="D288" s="65"/>
      <c r="E288" s="65"/>
      <c r="F288" s="65"/>
      <c r="G288" s="65"/>
      <c r="H288" s="65"/>
      <c r="I288" s="65"/>
      <c r="J288" s="65"/>
      <c r="K288" s="65"/>
      <c r="L288" s="65"/>
      <c r="M288" s="65"/>
      <c r="N288" s="65"/>
      <c r="Q288" s="230"/>
      <c r="R288" s="642"/>
      <c r="S288" s="642"/>
      <c r="T288" s="328"/>
      <c r="U288" s="230"/>
      <c r="V288" s="230"/>
      <c r="W288" s="230"/>
      <c r="X288" s="866"/>
      <c r="Y288" s="866"/>
      <c r="Z288" s="230"/>
      <c r="AA288" s="230"/>
      <c r="AB288" s="230"/>
      <c r="AD288" s="230"/>
      <c r="AE288" s="265"/>
      <c r="AF288" s="265"/>
      <c r="AG288" s="230"/>
      <c r="AH288" s="230"/>
      <c r="AI288" s="265"/>
      <c r="AJ288" s="265"/>
    </row>
    <row r="289" spans="1:36" x14ac:dyDescent="0.25">
      <c r="A289" s="403"/>
      <c r="B289" s="403"/>
      <c r="C289" s="481"/>
      <c r="D289" s="480"/>
      <c r="E289" s="481"/>
      <c r="F289" s="481"/>
      <c r="G289" s="480"/>
      <c r="H289" s="480"/>
      <c r="I289" s="480"/>
      <c r="J289" s="481"/>
      <c r="K289" s="480"/>
      <c r="L289" s="230"/>
      <c r="M289" s="230"/>
      <c r="N289" s="230"/>
      <c r="Q289" s="230"/>
      <c r="R289" s="642"/>
      <c r="S289" s="642"/>
      <c r="T289" s="328"/>
      <c r="U289" s="230"/>
      <c r="V289" s="230"/>
      <c r="W289" s="230"/>
      <c r="X289" s="866"/>
      <c r="Y289" s="866"/>
      <c r="Z289" s="230"/>
      <c r="AA289" s="230"/>
      <c r="AB289" s="230"/>
      <c r="AD289" s="230"/>
      <c r="AE289" s="265"/>
      <c r="AF289" s="265"/>
      <c r="AG289" s="230"/>
      <c r="AH289" s="230"/>
      <c r="AI289" s="265"/>
      <c r="AJ289" s="265"/>
    </row>
    <row r="290" spans="1:36" x14ac:dyDescent="0.25">
      <c r="A290" s="403"/>
      <c r="B290" s="403"/>
      <c r="C290" s="481"/>
      <c r="D290" s="480"/>
      <c r="E290" s="481"/>
      <c r="F290" s="482"/>
      <c r="G290" s="480"/>
      <c r="H290" s="480"/>
      <c r="I290" s="480"/>
      <c r="J290" s="482"/>
      <c r="K290" s="480"/>
      <c r="L290" s="230"/>
      <c r="M290" s="230"/>
      <c r="N290" s="230"/>
      <c r="Q290" s="230"/>
      <c r="R290" s="642"/>
      <c r="S290" s="642"/>
      <c r="T290" s="328"/>
      <c r="U290" s="230"/>
      <c r="V290" s="230"/>
      <c r="W290" s="230"/>
      <c r="X290" s="866"/>
      <c r="Y290" s="866"/>
      <c r="Z290" s="230"/>
      <c r="AA290" s="230"/>
      <c r="AB290" s="230"/>
      <c r="AD290" s="230"/>
      <c r="AE290" s="265"/>
      <c r="AF290" s="265"/>
      <c r="AG290" s="230"/>
      <c r="AH290" s="230"/>
      <c r="AI290" s="265"/>
      <c r="AJ290" s="265"/>
    </row>
    <row r="291" spans="1:36" x14ac:dyDescent="0.25">
      <c r="A291" s="481"/>
      <c r="B291" s="481"/>
      <c r="C291" s="481"/>
      <c r="D291" s="480"/>
      <c r="E291" s="481"/>
      <c r="F291" s="483"/>
      <c r="G291" s="480"/>
      <c r="H291" s="480"/>
      <c r="I291" s="480"/>
      <c r="J291" s="483"/>
      <c r="K291" s="480"/>
      <c r="L291" s="230"/>
      <c r="M291" s="230"/>
      <c r="N291" s="230"/>
      <c r="Q291" s="230"/>
      <c r="R291" s="642"/>
      <c r="S291" s="642"/>
      <c r="T291" s="328"/>
      <c r="U291" s="230"/>
      <c r="V291" s="230"/>
      <c r="W291" s="230"/>
      <c r="X291" s="866"/>
      <c r="Y291" s="866"/>
      <c r="Z291" s="230"/>
      <c r="AA291" s="230"/>
      <c r="AB291" s="230"/>
      <c r="AD291" s="230"/>
      <c r="AE291" s="265"/>
      <c r="AF291" s="265"/>
      <c r="AG291" s="230"/>
      <c r="AH291" s="230"/>
      <c r="AI291" s="265"/>
      <c r="AJ291" s="265"/>
    </row>
    <row r="292" spans="1:36" x14ac:dyDescent="0.25">
      <c r="A292" s="403"/>
      <c r="B292" s="403"/>
      <c r="C292" s="481"/>
      <c r="D292" s="480"/>
      <c r="E292" s="481"/>
      <c r="F292" s="480"/>
      <c r="G292" s="480"/>
      <c r="H292" s="480"/>
      <c r="I292" s="480"/>
      <c r="J292" s="480"/>
      <c r="K292" s="480"/>
      <c r="L292" s="230"/>
      <c r="M292" s="230"/>
      <c r="N292" s="230"/>
      <c r="Q292" s="230"/>
      <c r="R292" s="642"/>
      <c r="S292" s="642"/>
      <c r="T292" s="328"/>
      <c r="U292" s="230"/>
      <c r="V292" s="230"/>
      <c r="W292" s="230"/>
      <c r="X292" s="866"/>
      <c r="Y292" s="866"/>
      <c r="Z292" s="230"/>
      <c r="AA292" s="230"/>
      <c r="AB292" s="230"/>
      <c r="AD292" s="230"/>
      <c r="AE292" s="265"/>
      <c r="AF292" s="265"/>
      <c r="AG292" s="230"/>
      <c r="AH292" s="230"/>
      <c r="AI292" s="265"/>
      <c r="AJ292" s="265"/>
    </row>
    <row r="293" spans="1:36" x14ac:dyDescent="0.25">
      <c r="A293" s="403"/>
      <c r="B293" s="403"/>
      <c r="C293" s="481"/>
      <c r="D293" s="480"/>
      <c r="E293" s="481"/>
      <c r="F293" s="482"/>
      <c r="G293" s="480"/>
      <c r="H293" s="480"/>
      <c r="I293" s="480"/>
      <c r="J293" s="482"/>
      <c r="K293" s="480"/>
      <c r="L293" s="230"/>
      <c r="M293" s="230"/>
      <c r="N293" s="230"/>
      <c r="Q293" s="230"/>
      <c r="R293" s="642"/>
      <c r="S293" s="642"/>
      <c r="T293" s="328"/>
      <c r="U293" s="230"/>
      <c r="V293" s="230"/>
      <c r="W293" s="230"/>
      <c r="X293" s="866"/>
      <c r="Y293" s="866"/>
      <c r="Z293" s="230"/>
      <c r="AA293" s="230"/>
      <c r="AB293" s="230"/>
      <c r="AD293" s="230"/>
      <c r="AE293" s="265"/>
      <c r="AF293" s="265"/>
      <c r="AG293" s="230"/>
      <c r="AH293" s="230"/>
      <c r="AI293" s="265"/>
      <c r="AJ293" s="265"/>
    </row>
    <row r="294" spans="1:36" x14ac:dyDescent="0.25">
      <c r="A294" s="403"/>
      <c r="B294" s="403"/>
      <c r="C294" s="481"/>
      <c r="D294" s="480"/>
      <c r="E294" s="481"/>
      <c r="F294" s="481"/>
      <c r="G294" s="480"/>
      <c r="H294" s="480"/>
      <c r="I294" s="480"/>
      <c r="J294" s="481"/>
      <c r="K294" s="480"/>
      <c r="L294" s="230"/>
      <c r="M294" s="230"/>
      <c r="N294" s="230"/>
      <c r="Q294" s="230"/>
      <c r="R294" s="642"/>
      <c r="S294" s="642"/>
      <c r="T294" s="328"/>
      <c r="U294" s="230"/>
      <c r="V294" s="230"/>
      <c r="W294" s="230"/>
      <c r="X294" s="866"/>
      <c r="Y294" s="866"/>
      <c r="Z294" s="230"/>
      <c r="AA294" s="230"/>
      <c r="AB294" s="230"/>
      <c r="AD294" s="230"/>
      <c r="AE294" s="265"/>
      <c r="AF294" s="265"/>
      <c r="AG294" s="230"/>
      <c r="AH294" s="230"/>
      <c r="AI294" s="265"/>
      <c r="AJ294" s="265"/>
    </row>
    <row r="295" spans="1:36" x14ac:dyDescent="0.25">
      <c r="A295" s="403"/>
      <c r="B295" s="403"/>
      <c r="C295" s="481"/>
      <c r="D295" s="480"/>
      <c r="E295" s="481"/>
      <c r="F295" s="482"/>
      <c r="G295" s="480"/>
      <c r="H295" s="480"/>
      <c r="I295" s="480"/>
      <c r="J295" s="482"/>
      <c r="K295" s="483"/>
      <c r="L295" s="230"/>
      <c r="M295" s="230"/>
      <c r="N295" s="230"/>
      <c r="Q295" s="230"/>
      <c r="R295" s="642"/>
      <c r="S295" s="642"/>
      <c r="T295" s="328"/>
      <c r="U295" s="230"/>
      <c r="V295" s="230"/>
      <c r="W295" s="230"/>
      <c r="X295" s="866"/>
      <c r="Y295" s="866"/>
      <c r="Z295" s="230"/>
      <c r="AA295" s="230"/>
      <c r="AB295" s="230"/>
      <c r="AD295" s="230"/>
      <c r="AE295" s="265"/>
      <c r="AF295" s="265"/>
      <c r="AG295" s="230"/>
      <c r="AH295" s="230"/>
      <c r="AI295" s="265"/>
      <c r="AJ295" s="265"/>
    </row>
    <row r="296" spans="1:36" x14ac:dyDescent="0.25">
      <c r="A296" s="481"/>
      <c r="B296" s="481"/>
      <c r="C296" s="481"/>
      <c r="D296" s="480"/>
      <c r="E296" s="481"/>
      <c r="F296" s="483"/>
      <c r="G296" s="480"/>
      <c r="H296" s="480"/>
      <c r="I296" s="480"/>
      <c r="J296" s="483"/>
      <c r="K296" s="480"/>
      <c r="L296" s="230"/>
      <c r="M296" s="230"/>
      <c r="N296" s="230"/>
      <c r="Q296" s="230"/>
      <c r="R296" s="642"/>
      <c r="S296" s="642"/>
      <c r="T296" s="328"/>
      <c r="U296" s="230"/>
      <c r="V296" s="230"/>
      <c r="W296" s="230"/>
      <c r="X296" s="866"/>
      <c r="Y296" s="866"/>
      <c r="Z296" s="230"/>
      <c r="AA296" s="230"/>
      <c r="AB296" s="230"/>
      <c r="AD296" s="230"/>
      <c r="AE296" s="265"/>
      <c r="AF296" s="265"/>
      <c r="AG296" s="230"/>
      <c r="AH296" s="230"/>
      <c r="AI296" s="265"/>
      <c r="AJ296" s="265"/>
    </row>
    <row r="297" spans="1:36" x14ac:dyDescent="0.25">
      <c r="A297" s="403"/>
      <c r="B297" s="403"/>
      <c r="C297" s="481"/>
      <c r="D297" s="480"/>
      <c r="E297" s="481"/>
      <c r="F297" s="480"/>
      <c r="G297" s="480"/>
      <c r="H297" s="480"/>
      <c r="I297" s="480"/>
      <c r="J297" s="480"/>
      <c r="K297" s="484"/>
      <c r="L297" s="230"/>
      <c r="M297" s="230"/>
      <c r="N297" s="230"/>
      <c r="Q297" s="230"/>
      <c r="R297" s="642"/>
      <c r="S297" s="642"/>
      <c r="T297" s="328"/>
      <c r="U297" s="230"/>
      <c r="V297" s="230"/>
      <c r="W297" s="230"/>
      <c r="X297" s="866"/>
      <c r="Y297" s="866"/>
      <c r="Z297" s="230"/>
      <c r="AA297" s="230"/>
      <c r="AB297" s="230"/>
      <c r="AD297" s="230"/>
      <c r="AE297" s="265"/>
      <c r="AF297" s="265"/>
      <c r="AG297" s="230"/>
      <c r="AH297" s="230"/>
      <c r="AI297" s="265"/>
      <c r="AJ297" s="265"/>
    </row>
    <row r="298" spans="1:36" x14ac:dyDescent="0.25">
      <c r="A298" s="485"/>
      <c r="B298" s="485"/>
      <c r="C298" s="485"/>
      <c r="D298" s="480"/>
      <c r="E298" s="485"/>
      <c r="F298" s="480"/>
      <c r="G298" s="480"/>
      <c r="H298" s="480"/>
      <c r="I298" s="480"/>
      <c r="J298" s="480"/>
      <c r="K298" s="480"/>
      <c r="L298" s="230"/>
      <c r="M298" s="230"/>
      <c r="N298" s="230"/>
      <c r="Q298" s="230"/>
      <c r="R298" s="642"/>
      <c r="S298" s="642"/>
      <c r="T298" s="328"/>
      <c r="U298" s="230"/>
      <c r="V298" s="230"/>
      <c r="W298" s="230"/>
      <c r="X298" s="866"/>
      <c r="Y298" s="866"/>
      <c r="Z298" s="230"/>
      <c r="AA298" s="230"/>
      <c r="AB298" s="230"/>
      <c r="AD298" s="230"/>
      <c r="AE298" s="265"/>
      <c r="AF298" s="265"/>
      <c r="AG298" s="230"/>
      <c r="AH298" s="230"/>
      <c r="AI298" s="265"/>
      <c r="AJ298" s="265"/>
    </row>
    <row r="299" spans="1:36" x14ac:dyDescent="0.25">
      <c r="A299" s="403"/>
      <c r="B299" s="403"/>
      <c r="C299" s="481"/>
      <c r="D299" s="480"/>
      <c r="E299" s="481"/>
      <c r="F299" s="480"/>
      <c r="G299" s="480"/>
      <c r="H299" s="480"/>
      <c r="I299" s="480"/>
      <c r="J299" s="480"/>
      <c r="K299" s="480"/>
      <c r="L299" s="230"/>
      <c r="M299" s="230"/>
      <c r="N299" s="230"/>
      <c r="Q299" s="230"/>
      <c r="R299" s="642"/>
      <c r="S299" s="642"/>
      <c r="T299" s="328"/>
      <c r="U299" s="230"/>
      <c r="V299" s="230"/>
      <c r="W299" s="230"/>
      <c r="X299" s="866"/>
      <c r="Y299" s="866"/>
      <c r="Z299" s="230"/>
      <c r="AA299" s="230"/>
      <c r="AB299" s="230"/>
      <c r="AD299" s="230"/>
      <c r="AE299" s="265"/>
      <c r="AF299" s="265"/>
      <c r="AG299" s="230"/>
      <c r="AH299" s="230"/>
      <c r="AI299" s="265"/>
      <c r="AJ299" s="265"/>
    </row>
    <row r="300" spans="1:36" x14ac:dyDescent="0.25">
      <c r="A300" s="481"/>
      <c r="B300" s="481"/>
      <c r="C300" s="481"/>
      <c r="D300" s="480"/>
      <c r="E300" s="481"/>
      <c r="F300" s="480"/>
      <c r="G300" s="480"/>
      <c r="H300" s="480"/>
      <c r="I300" s="480"/>
      <c r="J300" s="480"/>
      <c r="K300" s="484"/>
      <c r="L300" s="230"/>
      <c r="M300" s="230"/>
      <c r="N300" s="230"/>
      <c r="Q300" s="230"/>
      <c r="R300" s="642"/>
      <c r="S300" s="642"/>
      <c r="T300" s="328"/>
      <c r="U300" s="230"/>
      <c r="V300" s="230"/>
      <c r="W300" s="230"/>
      <c r="X300" s="866"/>
      <c r="Y300" s="866"/>
      <c r="Z300" s="230"/>
      <c r="AA300" s="230"/>
      <c r="AB300" s="230"/>
      <c r="AD300" s="230"/>
      <c r="AE300" s="265"/>
      <c r="AF300" s="265"/>
      <c r="AG300" s="230"/>
      <c r="AH300" s="230"/>
      <c r="AI300" s="265"/>
      <c r="AJ300" s="265"/>
    </row>
    <row r="301" spans="1:36" x14ac:dyDescent="0.25">
      <c r="A301" s="486"/>
      <c r="B301" s="486"/>
      <c r="C301" s="486"/>
      <c r="D301" s="480"/>
      <c r="E301" s="486"/>
      <c r="F301" s="480"/>
      <c r="G301" s="480"/>
      <c r="H301" s="480"/>
      <c r="I301" s="480"/>
      <c r="J301" s="480"/>
      <c r="K301" s="484"/>
      <c r="L301" s="230"/>
      <c r="M301" s="230"/>
      <c r="N301" s="230"/>
      <c r="Q301" s="230"/>
      <c r="R301" s="642"/>
      <c r="S301" s="642"/>
      <c r="T301" s="328"/>
      <c r="U301" s="230"/>
      <c r="V301" s="230"/>
      <c r="W301" s="230"/>
      <c r="X301" s="866"/>
      <c r="Y301" s="866"/>
      <c r="Z301" s="230"/>
      <c r="AA301" s="230"/>
      <c r="AB301" s="230"/>
      <c r="AD301" s="230"/>
      <c r="AE301" s="265"/>
      <c r="AF301" s="265"/>
      <c r="AG301" s="230"/>
      <c r="AH301" s="230"/>
      <c r="AI301" s="265"/>
      <c r="AJ301" s="265"/>
    </row>
    <row r="302" spans="1:36" x14ac:dyDescent="0.25">
      <c r="A302" s="405"/>
      <c r="B302" s="405"/>
      <c r="C302" s="405"/>
      <c r="D302" s="230"/>
      <c r="E302" s="405"/>
      <c r="F302" s="230"/>
      <c r="G302" s="230"/>
      <c r="H302" s="230"/>
      <c r="I302" s="230"/>
      <c r="J302" s="866"/>
      <c r="K302" s="230"/>
      <c r="L302" s="230"/>
      <c r="M302" s="230"/>
      <c r="N302" s="230"/>
      <c r="Q302" s="230"/>
      <c r="R302" s="642"/>
      <c r="S302" s="642"/>
      <c r="T302" s="328"/>
      <c r="U302" s="230"/>
      <c r="V302" s="230"/>
      <c r="W302" s="230"/>
      <c r="X302" s="866"/>
      <c r="Y302" s="866"/>
      <c r="Z302" s="230"/>
      <c r="AA302" s="230"/>
      <c r="AB302" s="230"/>
      <c r="AD302" s="230"/>
      <c r="AE302" s="265"/>
      <c r="AF302" s="265"/>
      <c r="AG302" s="230"/>
      <c r="AH302" s="230"/>
      <c r="AI302" s="265"/>
      <c r="AJ302" s="265"/>
    </row>
    <row r="303" spans="1:36" x14ac:dyDescent="0.25">
      <c r="A303" s="405"/>
      <c r="B303" s="405"/>
      <c r="C303" s="405"/>
      <c r="D303" s="230"/>
      <c r="E303" s="405"/>
      <c r="F303" s="230"/>
      <c r="G303" s="230"/>
      <c r="H303" s="230"/>
      <c r="I303" s="230"/>
      <c r="J303" s="866"/>
      <c r="K303" s="230"/>
      <c r="L303" s="230"/>
      <c r="M303" s="230"/>
      <c r="N303" s="230"/>
      <c r="Q303" s="230"/>
      <c r="R303" s="642"/>
      <c r="S303" s="642"/>
      <c r="T303" s="328"/>
      <c r="U303" s="230"/>
      <c r="V303" s="230"/>
      <c r="W303" s="230"/>
      <c r="X303" s="866"/>
      <c r="Y303" s="866"/>
      <c r="Z303" s="230"/>
      <c r="AA303" s="230"/>
      <c r="AB303" s="230"/>
      <c r="AD303" s="230"/>
      <c r="AE303" s="265"/>
      <c r="AF303" s="265"/>
      <c r="AG303" s="230"/>
      <c r="AH303" s="230"/>
      <c r="AI303" s="265"/>
      <c r="AJ303" s="265"/>
    </row>
    <row r="304" spans="1:36" x14ac:dyDescent="0.25">
      <c r="A304" s="405"/>
      <c r="B304" s="405"/>
      <c r="C304" s="405"/>
      <c r="D304" s="230"/>
      <c r="E304" s="405"/>
      <c r="F304" s="230"/>
      <c r="G304" s="230"/>
      <c r="H304" s="230"/>
      <c r="I304" s="230"/>
      <c r="J304" s="866"/>
      <c r="K304" s="230"/>
      <c r="L304" s="230"/>
      <c r="M304" s="230"/>
      <c r="N304" s="230"/>
      <c r="Q304" s="230"/>
      <c r="R304" s="642"/>
      <c r="S304" s="642"/>
      <c r="T304" s="328"/>
      <c r="U304" s="230"/>
      <c r="V304" s="230"/>
      <c r="W304" s="230"/>
      <c r="X304" s="866"/>
      <c r="Y304" s="866"/>
      <c r="Z304" s="230"/>
      <c r="AA304" s="230"/>
      <c r="AB304" s="230"/>
      <c r="AD304" s="230"/>
      <c r="AE304" s="265"/>
      <c r="AF304" s="265"/>
      <c r="AG304" s="230"/>
      <c r="AH304" s="230"/>
      <c r="AI304" s="265"/>
      <c r="AJ304" s="265"/>
    </row>
    <row r="305" spans="1:36" x14ac:dyDescent="0.25">
      <c r="A305" s="405"/>
      <c r="B305" s="405"/>
      <c r="C305" s="405"/>
      <c r="D305" s="230"/>
      <c r="E305" s="405"/>
      <c r="F305" s="230"/>
      <c r="G305" s="230"/>
      <c r="H305" s="230"/>
      <c r="I305" s="230"/>
      <c r="J305" s="866"/>
      <c r="K305" s="230"/>
      <c r="L305" s="230"/>
      <c r="M305" s="230"/>
      <c r="N305" s="230"/>
      <c r="Q305" s="230"/>
      <c r="R305" s="642"/>
      <c r="S305" s="642"/>
      <c r="T305" s="328"/>
      <c r="U305" s="230"/>
      <c r="V305" s="230"/>
      <c r="W305" s="230"/>
      <c r="X305" s="866"/>
      <c r="Y305" s="866"/>
      <c r="Z305" s="230"/>
      <c r="AA305" s="230"/>
      <c r="AB305" s="230"/>
      <c r="AD305" s="230"/>
      <c r="AE305" s="265"/>
      <c r="AF305" s="265"/>
      <c r="AG305" s="230"/>
      <c r="AH305" s="230"/>
      <c r="AI305" s="265"/>
      <c r="AJ305" s="265"/>
    </row>
    <row r="306" spans="1:36" x14ac:dyDescent="0.25">
      <c r="A306" s="405"/>
      <c r="B306" s="405"/>
      <c r="C306" s="405"/>
      <c r="D306" s="230"/>
      <c r="E306" s="405"/>
      <c r="F306" s="230"/>
      <c r="G306" s="230"/>
      <c r="H306" s="230"/>
      <c r="I306" s="230"/>
      <c r="J306" s="866"/>
      <c r="K306" s="230"/>
      <c r="L306" s="230"/>
      <c r="M306" s="230"/>
      <c r="N306" s="230"/>
      <c r="Q306" s="230"/>
      <c r="R306" s="642"/>
      <c r="S306" s="642"/>
      <c r="T306" s="328"/>
      <c r="U306" s="230"/>
      <c r="V306" s="230"/>
      <c r="W306" s="230"/>
      <c r="X306" s="866"/>
      <c r="Y306" s="866"/>
      <c r="Z306" s="230"/>
      <c r="AA306" s="230"/>
      <c r="AB306" s="230"/>
      <c r="AD306" s="230"/>
      <c r="AE306" s="265"/>
      <c r="AF306" s="265"/>
      <c r="AG306" s="230"/>
      <c r="AH306" s="230"/>
      <c r="AI306" s="265"/>
      <c r="AJ306" s="265"/>
    </row>
    <row r="307" spans="1:36" x14ac:dyDescent="0.25">
      <c r="A307" s="405"/>
      <c r="B307" s="405"/>
      <c r="C307" s="405"/>
      <c r="D307" s="230"/>
      <c r="E307" s="405"/>
      <c r="F307" s="230"/>
      <c r="G307" s="230"/>
      <c r="H307" s="230"/>
      <c r="I307" s="230"/>
      <c r="J307" s="866"/>
      <c r="K307" s="230"/>
      <c r="L307" s="230"/>
      <c r="M307" s="230"/>
      <c r="N307" s="230"/>
      <c r="Q307" s="230"/>
      <c r="R307" s="642"/>
      <c r="S307" s="642"/>
      <c r="T307" s="328"/>
      <c r="U307" s="230"/>
      <c r="V307" s="230"/>
      <c r="W307" s="230"/>
      <c r="X307" s="866"/>
      <c r="Y307" s="866"/>
      <c r="Z307" s="230"/>
      <c r="AA307" s="230"/>
      <c r="AB307" s="230"/>
      <c r="AD307" s="230"/>
      <c r="AE307" s="265"/>
      <c r="AF307" s="265"/>
      <c r="AG307" s="230"/>
      <c r="AH307" s="230"/>
      <c r="AI307" s="265"/>
      <c r="AJ307" s="265"/>
    </row>
    <row r="308" spans="1:36" x14ac:dyDescent="0.25">
      <c r="A308" s="405"/>
      <c r="B308" s="405"/>
      <c r="C308" s="405"/>
      <c r="D308" s="230"/>
      <c r="E308" s="405"/>
      <c r="F308" s="230"/>
      <c r="G308" s="230"/>
      <c r="H308" s="230"/>
      <c r="I308" s="230"/>
      <c r="J308" s="866"/>
      <c r="K308" s="230"/>
      <c r="L308" s="230"/>
      <c r="M308" s="230"/>
      <c r="N308" s="230"/>
      <c r="Q308" s="230"/>
      <c r="R308" s="642"/>
      <c r="S308" s="642"/>
      <c r="T308" s="328"/>
      <c r="U308" s="230"/>
      <c r="V308" s="230"/>
      <c r="W308" s="230"/>
      <c r="X308" s="866"/>
      <c r="Y308" s="866"/>
      <c r="Z308" s="230"/>
      <c r="AA308" s="230"/>
      <c r="AB308" s="230"/>
      <c r="AD308" s="230"/>
      <c r="AE308" s="265"/>
      <c r="AF308" s="265"/>
      <c r="AG308" s="230"/>
      <c r="AH308" s="230"/>
      <c r="AI308" s="265"/>
      <c r="AJ308" s="265"/>
    </row>
    <row r="309" spans="1:36" x14ac:dyDescent="0.25">
      <c r="A309" s="405"/>
      <c r="B309" s="405"/>
      <c r="C309" s="405"/>
      <c r="D309" s="230"/>
      <c r="E309" s="405"/>
      <c r="F309" s="230"/>
      <c r="G309" s="230"/>
      <c r="H309" s="230"/>
      <c r="I309" s="230"/>
      <c r="J309" s="866"/>
      <c r="K309" s="230"/>
      <c r="L309" s="230"/>
      <c r="M309" s="230"/>
      <c r="N309" s="230"/>
      <c r="Q309" s="230"/>
      <c r="R309" s="642"/>
      <c r="S309" s="642"/>
      <c r="T309" s="328"/>
      <c r="U309" s="230"/>
      <c r="V309" s="230"/>
      <c r="W309" s="230"/>
      <c r="X309" s="866"/>
      <c r="Y309" s="866"/>
      <c r="Z309" s="230"/>
      <c r="AA309" s="230"/>
      <c r="AB309" s="230"/>
      <c r="AD309" s="230"/>
      <c r="AE309" s="265"/>
      <c r="AF309" s="265"/>
      <c r="AG309" s="230"/>
      <c r="AH309" s="230"/>
      <c r="AI309" s="265"/>
      <c r="AJ309" s="265"/>
    </row>
    <row r="310" spans="1:36" x14ac:dyDescent="0.25">
      <c r="A310" s="405"/>
      <c r="B310" s="405"/>
      <c r="C310" s="405"/>
      <c r="D310" s="230"/>
      <c r="E310" s="405"/>
      <c r="F310" s="230"/>
      <c r="G310" s="230"/>
      <c r="H310" s="230"/>
      <c r="I310" s="230"/>
      <c r="J310" s="866"/>
      <c r="K310" s="230"/>
      <c r="L310" s="230"/>
      <c r="M310" s="230"/>
      <c r="N310" s="230"/>
      <c r="Q310" s="230"/>
      <c r="R310" s="642"/>
      <c r="S310" s="642"/>
      <c r="T310" s="328"/>
      <c r="U310" s="230"/>
      <c r="V310" s="230"/>
      <c r="W310" s="230"/>
      <c r="X310" s="866"/>
      <c r="Y310" s="866"/>
      <c r="Z310" s="230"/>
      <c r="AA310" s="230"/>
      <c r="AB310" s="230"/>
      <c r="AD310" s="230"/>
      <c r="AE310" s="265"/>
      <c r="AF310" s="265"/>
      <c r="AG310" s="230"/>
      <c r="AH310" s="230"/>
      <c r="AI310" s="265"/>
      <c r="AJ310" s="265"/>
    </row>
    <row r="311" spans="1:36" x14ac:dyDescent="0.25">
      <c r="A311" s="405"/>
      <c r="B311" s="405"/>
      <c r="C311" s="405"/>
      <c r="D311" s="230"/>
      <c r="E311" s="405"/>
      <c r="F311" s="230"/>
      <c r="G311" s="230"/>
      <c r="H311" s="230"/>
      <c r="I311" s="230"/>
      <c r="J311" s="866"/>
      <c r="K311" s="230"/>
      <c r="L311" s="230"/>
      <c r="M311" s="230"/>
      <c r="N311" s="230"/>
      <c r="Q311" s="230"/>
      <c r="R311" s="642"/>
      <c r="S311" s="642"/>
      <c r="T311" s="328"/>
      <c r="U311" s="230"/>
      <c r="V311" s="230"/>
      <c r="W311" s="230"/>
      <c r="X311" s="866"/>
      <c r="Y311" s="866"/>
      <c r="Z311" s="230"/>
      <c r="AA311" s="230"/>
      <c r="AB311" s="230"/>
      <c r="AD311" s="230"/>
      <c r="AE311" s="265"/>
      <c r="AF311" s="265"/>
      <c r="AG311" s="230"/>
      <c r="AH311" s="230"/>
      <c r="AI311" s="265"/>
      <c r="AJ311" s="265"/>
    </row>
    <row r="312" spans="1:36" x14ac:dyDescent="0.25">
      <c r="A312" s="405"/>
      <c r="B312" s="405"/>
      <c r="C312" s="405"/>
      <c r="D312" s="230"/>
      <c r="E312" s="405"/>
      <c r="F312" s="230"/>
      <c r="G312" s="230"/>
      <c r="H312" s="230"/>
      <c r="I312" s="230"/>
      <c r="J312" s="866"/>
      <c r="K312" s="230"/>
      <c r="L312" s="230"/>
      <c r="M312" s="230"/>
      <c r="N312" s="230"/>
      <c r="Q312" s="230"/>
      <c r="R312" s="642"/>
      <c r="S312" s="642"/>
      <c r="T312" s="328"/>
      <c r="U312" s="230"/>
      <c r="V312" s="230"/>
      <c r="W312" s="230"/>
      <c r="X312" s="866"/>
      <c r="Y312" s="866"/>
      <c r="Z312" s="230"/>
      <c r="AA312" s="230"/>
      <c r="AB312" s="230"/>
      <c r="AD312" s="230"/>
      <c r="AE312" s="265"/>
      <c r="AF312" s="265"/>
      <c r="AG312" s="230"/>
      <c r="AH312" s="230"/>
      <c r="AI312" s="265"/>
      <c r="AJ312" s="265"/>
    </row>
    <row r="313" spans="1:36" x14ac:dyDescent="0.25">
      <c r="A313" s="405"/>
      <c r="B313" s="405"/>
      <c r="C313" s="405"/>
      <c r="D313" s="230"/>
      <c r="E313" s="405"/>
      <c r="F313" s="230"/>
      <c r="G313" s="230"/>
      <c r="H313" s="230"/>
      <c r="I313" s="230"/>
      <c r="J313" s="866"/>
      <c r="K313" s="230"/>
      <c r="L313" s="230"/>
      <c r="M313" s="230"/>
      <c r="N313" s="230"/>
      <c r="Q313" s="230"/>
      <c r="R313" s="642"/>
      <c r="S313" s="642"/>
      <c r="T313" s="328"/>
      <c r="U313" s="230"/>
      <c r="V313" s="230"/>
      <c r="W313" s="230"/>
      <c r="X313" s="866"/>
      <c r="Y313" s="866"/>
      <c r="Z313" s="230"/>
      <c r="AA313" s="230"/>
      <c r="AB313" s="230"/>
      <c r="AD313" s="230"/>
      <c r="AE313" s="265"/>
      <c r="AF313" s="265"/>
      <c r="AG313" s="230"/>
      <c r="AH313" s="230"/>
      <c r="AI313" s="265"/>
      <c r="AJ313" s="265"/>
    </row>
    <row r="314" spans="1:36" x14ac:dyDescent="0.25">
      <c r="A314" s="405"/>
      <c r="B314" s="405"/>
      <c r="C314" s="405"/>
      <c r="D314" s="230"/>
      <c r="E314" s="405"/>
      <c r="F314" s="230"/>
      <c r="G314" s="230"/>
      <c r="H314" s="230"/>
      <c r="I314" s="230"/>
      <c r="J314" s="866"/>
      <c r="K314" s="230"/>
      <c r="L314" s="230"/>
      <c r="M314" s="230"/>
      <c r="N314" s="230"/>
      <c r="Q314" s="230"/>
      <c r="R314" s="642"/>
      <c r="S314" s="642"/>
      <c r="T314" s="328"/>
      <c r="U314" s="230"/>
      <c r="V314" s="230"/>
      <c r="W314" s="230"/>
      <c r="X314" s="866"/>
      <c r="Y314" s="866"/>
      <c r="Z314" s="230"/>
      <c r="AA314" s="230"/>
      <c r="AB314" s="230"/>
      <c r="AD314" s="230"/>
      <c r="AE314" s="265"/>
      <c r="AF314" s="265"/>
      <c r="AG314" s="230"/>
      <c r="AH314" s="230"/>
      <c r="AI314" s="265"/>
      <c r="AJ314" s="265"/>
    </row>
    <row r="315" spans="1:36" x14ac:dyDescent="0.25">
      <c r="A315" s="405"/>
      <c r="B315" s="405"/>
      <c r="C315" s="405"/>
      <c r="D315" s="230"/>
      <c r="E315" s="405"/>
      <c r="F315" s="230"/>
      <c r="G315" s="230"/>
      <c r="H315" s="230"/>
      <c r="I315" s="230"/>
      <c r="J315" s="866"/>
      <c r="K315" s="230"/>
      <c r="L315" s="230"/>
      <c r="M315" s="230"/>
      <c r="N315" s="230"/>
      <c r="Q315" s="230"/>
      <c r="R315" s="642"/>
      <c r="S315" s="642"/>
      <c r="T315" s="328"/>
      <c r="U315" s="230"/>
      <c r="V315" s="230"/>
      <c r="W315" s="230"/>
      <c r="X315" s="866"/>
      <c r="Y315" s="866"/>
      <c r="Z315" s="230"/>
      <c r="AA315" s="230"/>
      <c r="AB315" s="230"/>
      <c r="AD315" s="230"/>
      <c r="AE315" s="265"/>
      <c r="AF315" s="265"/>
      <c r="AG315" s="230"/>
      <c r="AH315" s="230"/>
      <c r="AI315" s="265"/>
      <c r="AJ315" s="265"/>
    </row>
    <row r="316" spans="1:36" x14ac:dyDescent="0.25">
      <c r="A316" s="405"/>
      <c r="B316" s="405"/>
      <c r="C316" s="405"/>
      <c r="D316" s="230"/>
      <c r="E316" s="405"/>
      <c r="F316" s="230"/>
      <c r="G316" s="230"/>
      <c r="H316" s="230"/>
      <c r="I316" s="230"/>
      <c r="J316" s="866"/>
      <c r="K316" s="230"/>
      <c r="L316" s="230"/>
      <c r="M316" s="230"/>
      <c r="N316" s="230"/>
      <c r="Q316" s="230"/>
      <c r="R316" s="642"/>
      <c r="S316" s="642"/>
      <c r="T316" s="328"/>
      <c r="U316" s="230"/>
      <c r="V316" s="230"/>
      <c r="W316" s="230"/>
      <c r="X316" s="866"/>
      <c r="Y316" s="866"/>
      <c r="Z316" s="230"/>
      <c r="AA316" s="230"/>
      <c r="AB316" s="230"/>
      <c r="AD316" s="230"/>
      <c r="AE316" s="265"/>
      <c r="AF316" s="265"/>
      <c r="AG316" s="230"/>
      <c r="AH316" s="230"/>
      <c r="AI316" s="265"/>
      <c r="AJ316" s="265"/>
    </row>
    <row r="317" spans="1:36" x14ac:dyDescent="0.25">
      <c r="A317" s="405"/>
      <c r="B317" s="405"/>
      <c r="C317" s="405"/>
      <c r="D317" s="230"/>
      <c r="E317" s="405"/>
      <c r="F317" s="230"/>
      <c r="G317" s="230"/>
      <c r="H317" s="230"/>
      <c r="I317" s="230"/>
      <c r="J317" s="866"/>
      <c r="K317" s="230"/>
      <c r="L317" s="230"/>
      <c r="M317" s="230"/>
      <c r="N317" s="230"/>
      <c r="Q317" s="230"/>
      <c r="R317" s="642"/>
      <c r="S317" s="642"/>
      <c r="T317" s="328"/>
      <c r="U317" s="230"/>
      <c r="V317" s="230"/>
      <c r="W317" s="230"/>
      <c r="X317" s="866"/>
      <c r="Y317" s="866"/>
      <c r="Z317" s="230"/>
      <c r="AA317" s="230"/>
      <c r="AB317" s="230"/>
      <c r="AD317" s="230"/>
      <c r="AE317" s="265"/>
      <c r="AF317" s="265"/>
      <c r="AG317" s="230"/>
      <c r="AH317" s="230"/>
      <c r="AI317" s="265"/>
      <c r="AJ317" s="265"/>
    </row>
    <row r="318" spans="1:36" x14ac:dyDescent="0.25">
      <c r="A318" s="405"/>
      <c r="B318" s="405"/>
      <c r="C318" s="405"/>
      <c r="D318" s="230"/>
      <c r="E318" s="405"/>
      <c r="F318" s="230"/>
      <c r="G318" s="230"/>
      <c r="H318" s="230"/>
      <c r="I318" s="230"/>
      <c r="J318" s="866"/>
      <c r="K318" s="230"/>
      <c r="L318" s="230"/>
      <c r="M318" s="230"/>
      <c r="N318" s="230"/>
      <c r="Q318" s="230"/>
      <c r="R318" s="642"/>
      <c r="S318" s="642"/>
      <c r="T318" s="328"/>
      <c r="U318" s="230"/>
      <c r="V318" s="230"/>
      <c r="W318" s="230"/>
      <c r="X318" s="866"/>
      <c r="Y318" s="866"/>
      <c r="Z318" s="230"/>
      <c r="AA318" s="230"/>
      <c r="AB318" s="230"/>
      <c r="AD318" s="230"/>
      <c r="AE318" s="265"/>
      <c r="AF318" s="265"/>
      <c r="AG318" s="230"/>
      <c r="AH318" s="230"/>
      <c r="AI318" s="265"/>
      <c r="AJ318" s="265"/>
    </row>
    <row r="319" spans="1:36" x14ac:dyDescent="0.25">
      <c r="A319" s="405"/>
      <c r="B319" s="405"/>
      <c r="C319" s="405"/>
      <c r="D319" s="230"/>
      <c r="E319" s="405"/>
      <c r="F319" s="230"/>
      <c r="G319" s="230"/>
      <c r="H319" s="230"/>
      <c r="I319" s="230"/>
      <c r="J319" s="866"/>
      <c r="K319" s="230"/>
      <c r="L319" s="230"/>
      <c r="M319" s="230"/>
      <c r="N319" s="230"/>
      <c r="Q319" s="230"/>
      <c r="R319" s="642"/>
      <c r="S319" s="642"/>
      <c r="T319" s="328"/>
      <c r="U319" s="230"/>
      <c r="V319" s="230"/>
      <c r="W319" s="230"/>
      <c r="X319" s="866"/>
      <c r="Y319" s="866"/>
      <c r="Z319" s="230"/>
      <c r="AA319" s="230"/>
      <c r="AB319" s="230"/>
      <c r="AD319" s="230"/>
      <c r="AE319" s="265"/>
      <c r="AF319" s="265"/>
      <c r="AG319" s="230"/>
      <c r="AH319" s="230"/>
      <c r="AI319" s="265"/>
      <c r="AJ319" s="265"/>
    </row>
    <row r="320" spans="1:36" x14ac:dyDescent="0.25">
      <c r="A320" s="405"/>
      <c r="B320" s="405"/>
      <c r="C320" s="405"/>
      <c r="D320" s="230"/>
      <c r="E320" s="405"/>
      <c r="F320" s="230"/>
      <c r="G320" s="230"/>
      <c r="H320" s="230"/>
      <c r="I320" s="230"/>
      <c r="J320" s="866"/>
      <c r="K320" s="230"/>
      <c r="L320" s="230"/>
      <c r="M320" s="230"/>
      <c r="N320" s="230"/>
      <c r="Q320" s="230"/>
      <c r="R320" s="642"/>
      <c r="S320" s="642"/>
      <c r="T320" s="328"/>
      <c r="U320" s="230"/>
      <c r="V320" s="230"/>
      <c r="W320" s="230"/>
      <c r="X320" s="866"/>
      <c r="Y320" s="866"/>
      <c r="Z320" s="230"/>
      <c r="AA320" s="230"/>
      <c r="AB320" s="230"/>
      <c r="AD320" s="230"/>
      <c r="AE320" s="265"/>
      <c r="AF320" s="265"/>
      <c r="AG320" s="230"/>
      <c r="AH320" s="230"/>
      <c r="AI320" s="265"/>
      <c r="AJ320" s="265"/>
    </row>
    <row r="321" spans="1:36" x14ac:dyDescent="0.25">
      <c r="A321" s="405"/>
      <c r="B321" s="405"/>
      <c r="C321" s="405"/>
      <c r="D321" s="230"/>
      <c r="E321" s="405"/>
      <c r="F321" s="230"/>
      <c r="G321" s="230"/>
      <c r="H321" s="230"/>
      <c r="I321" s="230"/>
      <c r="J321" s="866"/>
      <c r="K321" s="230"/>
      <c r="L321" s="230"/>
      <c r="M321" s="230"/>
      <c r="N321" s="230"/>
      <c r="Q321" s="230"/>
      <c r="R321" s="642"/>
      <c r="S321" s="642"/>
      <c r="T321" s="328"/>
      <c r="U321" s="230"/>
      <c r="V321" s="230"/>
      <c r="W321" s="230"/>
      <c r="X321" s="866"/>
      <c r="Y321" s="866"/>
      <c r="Z321" s="230"/>
      <c r="AA321" s="230"/>
      <c r="AB321" s="230"/>
      <c r="AD321" s="230"/>
      <c r="AE321" s="265"/>
      <c r="AF321" s="265"/>
      <c r="AG321" s="230"/>
      <c r="AH321" s="230"/>
      <c r="AI321" s="265"/>
      <c r="AJ321" s="265"/>
    </row>
    <row r="322" spans="1:36" x14ac:dyDescent="0.25">
      <c r="A322" s="405"/>
      <c r="B322" s="405"/>
      <c r="C322" s="405"/>
      <c r="D322" s="230"/>
      <c r="E322" s="405"/>
      <c r="F322" s="230"/>
      <c r="G322" s="230"/>
      <c r="H322" s="230"/>
      <c r="I322" s="230"/>
      <c r="J322" s="866"/>
      <c r="K322" s="230"/>
      <c r="L322" s="230"/>
      <c r="M322" s="230"/>
      <c r="N322" s="230"/>
      <c r="Q322" s="230"/>
      <c r="R322" s="642"/>
      <c r="S322" s="642"/>
      <c r="T322" s="328"/>
      <c r="U322" s="230"/>
      <c r="V322" s="230"/>
      <c r="W322" s="230"/>
      <c r="X322" s="866"/>
      <c r="Y322" s="866"/>
      <c r="Z322" s="230"/>
      <c r="AA322" s="230"/>
      <c r="AB322" s="230"/>
      <c r="AD322" s="230"/>
      <c r="AE322" s="265"/>
      <c r="AF322" s="265"/>
      <c r="AG322" s="230"/>
      <c r="AH322" s="230"/>
      <c r="AI322" s="265"/>
      <c r="AJ322" s="265"/>
    </row>
  </sheetData>
  <sheetProtection algorithmName="SHA-512" hashValue="VjmznONe2L30iMV3v+S93vgT1oPUDVj8Xi9gFCRV+pUcHJSZSR0AzANW4HXyQ0mWW54TMiZZN309FWgmp+zjYw==" saltValue="V1ZSmqoiWZWNNJseeOTh9Q==" spinCount="100000" sheet="1" formatCells="0" formatColumns="0"/>
  <mergeCells count="26">
    <mergeCell ref="A285:C285"/>
    <mergeCell ref="K178:M178"/>
    <mergeCell ref="Z12:Z15"/>
    <mergeCell ref="AA12:AA15"/>
    <mergeCell ref="L12:N12"/>
    <mergeCell ref="V12:V15"/>
    <mergeCell ref="W12:W15"/>
    <mergeCell ref="AD12:AJ12"/>
    <mergeCell ref="R12:R16"/>
    <mergeCell ref="Q13:Q16"/>
    <mergeCell ref="U14:U16"/>
    <mergeCell ref="X14:X16"/>
    <mergeCell ref="Y14:Y16"/>
    <mergeCell ref="AR16:AT16"/>
    <mergeCell ref="AD33:AF33"/>
    <mergeCell ref="AH33:AJ33"/>
    <mergeCell ref="AL33:AM33"/>
    <mergeCell ref="AO33:AP33"/>
    <mergeCell ref="AH16:AJ16"/>
    <mergeCell ref="AL16:AM16"/>
    <mergeCell ref="AO16:AP16"/>
    <mergeCell ref="AD61:AE61"/>
    <mergeCell ref="AH61:AJ61"/>
    <mergeCell ref="AD52:AE52"/>
    <mergeCell ref="AH52:AJ52"/>
    <mergeCell ref="AR33:AT33"/>
  </mergeCells>
  <dataValidations xWindow="982" yWindow="811" count="17">
    <dataValidation type="list" allowBlank="1" showInputMessage="1" showErrorMessage="1" promptTitle="K award?" prompt="Answer &quot;No&quot; if this is a K award.  _x000a__x000a_Answer &quot;Yes&quot; if there is a K awardee on your budget where the funding source is federal.  Example: NIH R01 grant with a K awardee as a co-investigator." sqref="R17">
      <formula1>$A$277:$A$278</formula1>
    </dataValidation>
    <dataValidation type="list" allowBlank="1" showInputMessage="1" showErrorMessage="1" sqref="L122">
      <formula1>$L$109:$L$121</formula1>
    </dataValidation>
    <dataValidation allowBlank="1" showInputMessage="1" showErrorMessage="1" promptTitle="Confused?" prompt="Do not confuse the FRINGE BENEFIT RATE with the F&amp;A Rate.  This question is about fringe benefits." sqref="M230"/>
    <dataValidation type="list" allowBlank="1" showInputMessage="1" showErrorMessage="1" promptTitle="Not Sure?" prompt="Assume Yes unless otherwise specified in the agency's instructions." sqref="L229">
      <formula1>$A$277:$A$278</formula1>
    </dataValidation>
    <dataValidation type="list" allowBlank="1" showInputMessage="1" showErrorMessage="1" sqref="H166 O202:P202 M202 L201 U17:U24 L186 R18:R24 M239 L195 L105 K232 H124 F259 F192 L192">
      <formula1>$A$277:$A$278</formula1>
    </dataValidation>
    <dataValidation type="list" allowBlank="1" showInputMessage="1" showErrorMessage="1" sqref="H136">
      <formula1>$M$138:$M$163</formula1>
    </dataValidation>
    <dataValidation type="list" allowBlank="1" showInputMessage="1" showErrorMessage="1" sqref="K227 K108:K111">
      <formula1>Subwardsq</formula1>
    </dataValidation>
    <dataValidation type="list" allowBlank="1" showInputMessage="1" showErrorMessage="1" promptTitle="Still not sure?" prompt="PIs generally add new subawards in the Y1 budget tab and continue them in the future years. _x000a__x000a_If you're adding it for the 1st time in this budget year and its value is less than $25,000, answer Yes." sqref="H173">
      <formula1>$A$277:$A$278</formula1>
    </dataValidation>
    <dataValidation type="list" allowBlank="1" showInputMessage="1" showErrorMessage="1" prompt="If you've already included the subaward on your Y1 budget and its Y1 value is equal to or greater than 25K, answer No." sqref="H131">
      <formula1>$A$277:$A$278</formula1>
    </dataValidation>
    <dataValidation type="whole" operator="lessThanOrEqual" allowBlank="1" showInputMessage="1" showErrorMessage="1" sqref="L180:L181">
      <formula1>25000</formula1>
    </dataValidation>
    <dataValidation type="list" allowBlank="1" showInputMessage="1" showErrorMessage="1" sqref="L89">
      <formula1>$M$210:$M$213</formula1>
    </dataValidation>
    <dataValidation type="list" allowBlank="1" showInputMessage="1" showErrorMessage="1" sqref="L85">
      <formula1>$M$205:$M$208</formula1>
    </dataValidation>
    <dataValidation type="list" allowBlank="1" showInputMessage="1" showErrorMessage="1" sqref="N81:P81">
      <formula1>$D$273:$D$283</formula1>
    </dataValidation>
    <dataValidation type="list" allowBlank="1" showInputMessage="1" showErrorMessage="1" sqref="H96">
      <formula1>$M$241:$M$257</formula1>
    </dataValidation>
    <dataValidation type="list" allowBlank="1" showInputMessage="1" showErrorMessage="1" sqref="M259">
      <formula1>$A$276:$A$277</formula1>
    </dataValidation>
    <dataValidation allowBlank="1" showInputMessage="1" showErrorMessage="1" promptTitle="Percent Effort" prompt="For Full Time Positions - _x000a_If you prefer % effort for any of the personnel rows, you may use the Effort Converter Calculator on the seperate worksheet." sqref="H17"/>
    <dataValidation allowBlank="1" showInputMessage="1" showErrorMessage="1" promptTitle="Part-Time Faculty" prompt="If there are part-time faculty on any of the rows, you must annualize their base salary.  You may use the P-T Faculty worksheet to do so." sqref="G17"/>
  </dataValidations>
  <hyperlinks>
    <hyperlink ref="N124" r:id="rId1"/>
    <hyperlink ref="N259" r:id="rId2"/>
    <hyperlink ref="N260" r:id="rId3"/>
  </hyperlinks>
  <pageMargins left="0.25" right="0.25" top="0.25" bottom="0.25" header="0" footer="0"/>
  <pageSetup scale="61" orientation="portrait" horizontalDpi="1200" verticalDpi="1200" r:id="rId4"/>
  <headerFooter alignWithMargins="0"/>
  <drawing r:id="rId5"/>
  <legacyDrawing r:id="rId6"/>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24"/>
  <sheetViews>
    <sheetView zoomScale="110" zoomScaleNormal="110" zoomScalePageLayoutView="75" workbookViewId="0">
      <selection activeCell="A4" sqref="A4"/>
    </sheetView>
  </sheetViews>
  <sheetFormatPr defaultColWidth="8.88671875" defaultRowHeight="13.8" x14ac:dyDescent="0.25"/>
  <cols>
    <col min="1" max="1" width="26.33203125" style="3" customWidth="1"/>
    <col min="2" max="2" width="13.77734375" style="3" customWidth="1"/>
    <col min="3" max="3" width="16.44140625" style="3" customWidth="1"/>
    <col min="4" max="4" width="12" style="3" hidden="1" customWidth="1"/>
    <col min="5" max="5" width="3.88671875" style="3" customWidth="1"/>
    <col min="6" max="6" width="12.33203125" style="3" hidden="1" customWidth="1"/>
    <col min="7" max="7" width="12.6640625" style="1" customWidth="1"/>
    <col min="8" max="8" width="12.33203125" style="1" customWidth="1"/>
    <col min="9" max="9" width="15.109375" style="1" customWidth="1"/>
    <col min="10" max="10" width="10.44140625" style="867" hidden="1" customWidth="1"/>
    <col min="11" max="11" width="16.33203125" style="1" customWidth="1"/>
    <col min="12" max="12" width="16.44140625" style="1" customWidth="1"/>
    <col min="13" max="13" width="16.5546875" style="1" customWidth="1"/>
    <col min="14" max="14" width="16.21875" style="1" customWidth="1"/>
    <col min="15" max="15" width="8.6640625" style="13" hidden="1" customWidth="1"/>
    <col min="16" max="16" width="10.109375" style="13" hidden="1" customWidth="1"/>
    <col min="17" max="17" width="8" style="1" customWidth="1"/>
    <col min="18" max="18" width="9.44140625" style="5" customWidth="1"/>
    <col min="19" max="19" width="11.6640625" style="5" hidden="1" customWidth="1"/>
    <col min="20" max="20" width="1.44140625" style="1" customWidth="1"/>
    <col min="21" max="21" width="7.6640625" style="1" customWidth="1"/>
    <col min="22" max="22" width="7.44140625" style="1" hidden="1" customWidth="1"/>
    <col min="23" max="23" width="9.44140625" style="1" hidden="1" customWidth="1"/>
    <col min="24" max="25" width="9.44140625" style="867" customWidth="1"/>
    <col min="26" max="26" width="8" style="1" hidden="1" customWidth="1"/>
    <col min="27" max="27" width="9.109375" style="1" hidden="1" customWidth="1"/>
    <col min="28" max="28" width="7.44140625" style="1" customWidth="1"/>
    <col min="29" max="29" width="2.88671875" style="230" customWidth="1"/>
    <col min="30" max="30" width="14.109375" style="1" hidden="1" customWidth="1"/>
    <col min="31" max="31" width="11.88671875" style="95" hidden="1" customWidth="1"/>
    <col min="32" max="32" width="10.88671875" style="95" hidden="1" customWidth="1"/>
    <col min="33" max="33" width="1.6640625" style="1" hidden="1" customWidth="1"/>
    <col min="34" max="34" width="13.109375" style="1" hidden="1" customWidth="1"/>
    <col min="35" max="35" width="12.44140625" style="95" hidden="1" customWidth="1"/>
    <col min="36" max="36" width="12.33203125" style="95" hidden="1" customWidth="1"/>
    <col min="37" max="37" width="1" style="1" customWidth="1"/>
    <col min="38" max="38" width="10.109375" style="1" hidden="1" customWidth="1"/>
    <col min="39" max="39" width="8.88671875" style="1" hidden="1" customWidth="1"/>
    <col min="40" max="40" width="1.44140625" style="1" hidden="1" customWidth="1"/>
    <col min="41" max="41" width="10" style="1" hidden="1" customWidth="1"/>
    <col min="42" max="42" width="9.88671875" style="1" hidden="1" customWidth="1"/>
    <col min="43" max="43" width="1" style="1" hidden="1" customWidth="1"/>
    <col min="44" max="44" width="11" style="1" hidden="1" customWidth="1"/>
    <col min="45" max="45" width="10.88671875" style="1" hidden="1" customWidth="1"/>
    <col min="46" max="46" width="11.88671875" style="1" hidden="1" customWidth="1"/>
    <col min="47" max="47" width="10.33203125" style="230" customWidth="1"/>
    <col min="48" max="48" width="8.88671875" style="230" customWidth="1"/>
    <col min="49" max="57" width="8.88671875" style="230"/>
    <col min="58" max="16384" width="8.88671875" style="1"/>
  </cols>
  <sheetData>
    <row r="1" spans="1:83" s="867" customFormat="1" x14ac:dyDescent="0.25">
      <c r="A1" s="863" t="s">
        <v>411</v>
      </c>
      <c r="B1" s="863"/>
      <c r="C1" s="864"/>
      <c r="D1" s="864"/>
      <c r="E1" s="864"/>
      <c r="F1" s="864"/>
      <c r="G1" s="865"/>
      <c r="H1" s="865"/>
      <c r="I1" s="865"/>
      <c r="J1" s="865"/>
      <c r="K1" s="865"/>
      <c r="L1" s="865"/>
      <c r="M1" s="865"/>
      <c r="N1" s="865"/>
      <c r="O1" s="866"/>
      <c r="P1" s="866"/>
      <c r="Q1" s="1253"/>
      <c r="R1" s="1253"/>
      <c r="S1" s="1253"/>
      <c r="T1" s="1334"/>
      <c r="U1" s="1384"/>
      <c r="V1" s="1384"/>
      <c r="W1" s="1384"/>
      <c r="X1" s="1384"/>
      <c r="Y1" s="1384"/>
      <c r="Z1" s="1384"/>
      <c r="AA1" s="1384"/>
      <c r="AB1" s="1384"/>
      <c r="AC1" s="868"/>
      <c r="AD1" s="868"/>
      <c r="AE1" s="866"/>
      <c r="AF1" s="866"/>
      <c r="AG1" s="868"/>
      <c r="AH1" s="868"/>
      <c r="AP1" s="129" t="e">
        <f>#REF!*#REF!</f>
        <v>#REF!</v>
      </c>
      <c r="AQ1" s="129" t="e">
        <f>#REF!*#REF!</f>
        <v>#REF!</v>
      </c>
      <c r="AR1" s="129" t="e">
        <f>#REF!*#REF!</f>
        <v>#REF!</v>
      </c>
      <c r="AS1" s="866"/>
      <c r="AT1" s="866"/>
      <c r="AU1" s="866"/>
      <c r="AV1" s="866"/>
      <c r="AW1" s="866"/>
      <c r="AX1" s="866"/>
      <c r="AY1" s="866"/>
      <c r="AZ1" s="866"/>
      <c r="BA1" s="866"/>
      <c r="BB1" s="866"/>
      <c r="BC1" s="866"/>
      <c r="BD1" s="866"/>
      <c r="BE1" s="866"/>
      <c r="BF1" s="869"/>
      <c r="BG1" s="869"/>
      <c r="BH1" s="869"/>
      <c r="BI1" s="869"/>
      <c r="BJ1" s="869"/>
      <c r="BK1" s="869"/>
      <c r="BL1" s="869"/>
      <c r="BM1" s="869"/>
      <c r="BN1" s="869"/>
      <c r="BO1" s="869"/>
      <c r="BP1" s="869"/>
      <c r="BQ1" s="869"/>
      <c r="BR1" s="869"/>
      <c r="BS1" s="869"/>
      <c r="BT1" s="869"/>
      <c r="BU1" s="869"/>
      <c r="BV1" s="869"/>
      <c r="BW1" s="869"/>
      <c r="BX1" s="869"/>
      <c r="BY1" s="869"/>
      <c r="BZ1" s="869"/>
      <c r="CA1" s="869"/>
      <c r="CB1" s="869"/>
      <c r="CC1" s="869"/>
      <c r="CD1" s="869"/>
      <c r="CE1" s="869"/>
    </row>
    <row r="2" spans="1:83" s="867" customFormat="1" ht="14.4" x14ac:dyDescent="0.25">
      <c r="A2" s="885" t="s">
        <v>418</v>
      </c>
      <c r="B2" s="885"/>
      <c r="C2" s="871"/>
      <c r="D2" s="871"/>
      <c r="E2" s="871"/>
      <c r="F2" s="871"/>
      <c r="G2" s="872"/>
      <c r="H2" s="872"/>
      <c r="I2" s="872"/>
      <c r="J2" s="872"/>
      <c r="K2" s="872"/>
      <c r="L2" s="872"/>
      <c r="M2" s="872"/>
      <c r="N2" s="872"/>
      <c r="Q2" s="275"/>
      <c r="R2" s="1066"/>
      <c r="S2" s="916"/>
      <c r="T2" s="1334"/>
      <c r="U2" s="275"/>
      <c r="V2" s="275"/>
      <c r="W2" s="916"/>
      <c r="X2" s="1383"/>
      <c r="Y2" s="1383"/>
      <c r="Z2" s="239"/>
      <c r="AA2" s="1383"/>
      <c r="AB2" s="1383"/>
      <c r="AC2" s="873"/>
      <c r="AD2" s="873"/>
      <c r="AG2" s="873"/>
      <c r="AH2" s="873"/>
      <c r="AS2" s="866"/>
      <c r="AT2" s="866"/>
      <c r="AU2" s="866"/>
      <c r="AV2" s="866"/>
      <c r="AW2" s="866"/>
      <c r="AX2" s="866"/>
      <c r="AY2" s="866"/>
      <c r="AZ2" s="866"/>
      <c r="BA2" s="866"/>
      <c r="BB2" s="866"/>
      <c r="BC2" s="866"/>
      <c r="BD2" s="866"/>
      <c r="BE2" s="866"/>
      <c r="BF2" s="869"/>
      <c r="BG2" s="869"/>
      <c r="BH2" s="869"/>
      <c r="BI2" s="869"/>
      <c r="BJ2" s="869"/>
      <c r="BK2" s="869"/>
      <c r="BL2" s="869"/>
      <c r="BM2" s="869"/>
      <c r="BN2" s="869"/>
      <c r="BO2" s="869"/>
      <c r="BP2" s="869"/>
      <c r="BQ2" s="869"/>
      <c r="BR2" s="869"/>
      <c r="BS2" s="869"/>
      <c r="BT2" s="869"/>
      <c r="BU2" s="869"/>
      <c r="BV2" s="869"/>
      <c r="BW2" s="869"/>
      <c r="BX2" s="869"/>
      <c r="BY2" s="869"/>
      <c r="BZ2" s="869"/>
      <c r="CA2" s="869"/>
      <c r="CB2" s="869"/>
      <c r="CC2" s="869"/>
      <c r="CD2" s="869"/>
      <c r="CE2" s="869"/>
    </row>
    <row r="3" spans="1:83" s="867" customFormat="1" ht="14.4" x14ac:dyDescent="0.25">
      <c r="A3" s="885" t="s">
        <v>546</v>
      </c>
      <c r="B3" s="885"/>
      <c r="C3" s="871"/>
      <c r="D3" s="871"/>
      <c r="E3" s="871"/>
      <c r="F3" s="871"/>
      <c r="G3" s="872"/>
      <c r="H3" s="872"/>
      <c r="I3" s="872"/>
      <c r="J3" s="872"/>
      <c r="K3" s="872"/>
      <c r="L3" s="872"/>
      <c r="M3" s="872"/>
      <c r="N3" s="872"/>
      <c r="Q3" s="275"/>
      <c r="R3" s="1066"/>
      <c r="S3" s="916"/>
      <c r="T3" s="1334"/>
      <c r="U3" s="1382"/>
      <c r="V3" s="239"/>
      <c r="W3" s="239"/>
      <c r="X3" s="1383"/>
      <c r="Y3" s="1383"/>
      <c r="Z3" s="239"/>
      <c r="AA3" s="1383"/>
      <c r="AB3" s="1383"/>
      <c r="AC3" s="873"/>
      <c r="AD3" s="873"/>
      <c r="AG3" s="873"/>
      <c r="AH3" s="873"/>
      <c r="AS3" s="866"/>
      <c r="AT3" s="866"/>
      <c r="AU3" s="866"/>
      <c r="AV3" s="866"/>
      <c r="AW3" s="866"/>
      <c r="AX3" s="866"/>
      <c r="AY3" s="866"/>
      <c r="AZ3" s="866"/>
      <c r="BA3" s="866"/>
      <c r="BB3" s="866"/>
      <c r="BC3" s="866"/>
      <c r="BD3" s="866"/>
      <c r="BE3" s="866"/>
      <c r="BF3" s="869"/>
      <c r="BG3" s="869"/>
      <c r="BH3" s="869"/>
      <c r="BI3" s="869"/>
      <c r="BJ3" s="869"/>
      <c r="BK3" s="869"/>
      <c r="BL3" s="869"/>
      <c r="BM3" s="869"/>
      <c r="BN3" s="869"/>
      <c r="BO3" s="869"/>
      <c r="BP3" s="869"/>
      <c r="BQ3" s="869"/>
      <c r="BR3" s="869"/>
      <c r="BS3" s="869"/>
      <c r="BT3" s="869"/>
      <c r="BU3" s="869"/>
      <c r="BV3" s="869"/>
      <c r="BW3" s="869"/>
      <c r="BX3" s="869"/>
      <c r="BY3" s="869"/>
      <c r="BZ3" s="869"/>
      <c r="CA3" s="869"/>
      <c r="CB3" s="869"/>
      <c r="CC3" s="869"/>
      <c r="CD3" s="869"/>
      <c r="CE3" s="869"/>
    </row>
    <row r="4" spans="1:83" s="867" customFormat="1" ht="14.4" x14ac:dyDescent="0.25">
      <c r="A4" s="885" t="s">
        <v>637</v>
      </c>
      <c r="B4" s="885"/>
      <c r="C4" s="871"/>
      <c r="D4" s="872"/>
      <c r="E4" s="872"/>
      <c r="F4" s="872"/>
      <c r="G4" s="871"/>
      <c r="H4" s="872"/>
      <c r="I4" s="872"/>
      <c r="J4" s="872"/>
      <c r="K4" s="872"/>
      <c r="L4" s="872"/>
      <c r="M4" s="872"/>
      <c r="N4" s="872"/>
      <c r="Q4" s="1382"/>
      <c r="R4" s="1066"/>
      <c r="S4" s="305"/>
      <c r="T4" s="866"/>
      <c r="U4" s="1382"/>
      <c r="V4" s="239"/>
      <c r="W4" s="239"/>
      <c r="X4" s="1383"/>
      <c r="Y4" s="1383"/>
      <c r="Z4" s="239"/>
      <c r="AA4" s="1383"/>
      <c r="AB4" s="1383"/>
      <c r="AC4" s="873"/>
      <c r="AF4" s="873"/>
      <c r="AG4" s="873"/>
      <c r="AR4" s="866"/>
      <c r="AS4" s="866"/>
      <c r="AT4" s="866"/>
      <c r="AU4" s="866"/>
      <c r="AV4" s="866"/>
      <c r="AW4" s="866"/>
      <c r="AX4" s="866"/>
      <c r="AY4" s="866"/>
      <c r="AZ4" s="866"/>
      <c r="BA4" s="866"/>
      <c r="BB4" s="866"/>
      <c r="BC4" s="866"/>
      <c r="BD4" s="866"/>
      <c r="BE4" s="869"/>
      <c r="BF4" s="869"/>
      <c r="BG4" s="869"/>
      <c r="BH4" s="869"/>
      <c r="BI4" s="869"/>
      <c r="BJ4" s="869"/>
      <c r="BK4" s="869"/>
      <c r="BL4" s="869"/>
      <c r="BM4" s="869"/>
      <c r="BN4" s="869"/>
      <c r="BO4" s="869"/>
      <c r="BP4" s="869"/>
      <c r="BQ4" s="869"/>
      <c r="BR4" s="869"/>
      <c r="BS4" s="869"/>
      <c r="BT4" s="869"/>
      <c r="BU4" s="869"/>
      <c r="BV4" s="869"/>
      <c r="BW4" s="869"/>
      <c r="BX4" s="869"/>
      <c r="BY4" s="869"/>
      <c r="BZ4" s="869"/>
      <c r="CA4" s="869"/>
      <c r="CB4" s="869"/>
      <c r="CC4" s="869"/>
      <c r="CD4" s="869"/>
    </row>
    <row r="5" spans="1:83" s="867" customFormat="1" ht="14.4" x14ac:dyDescent="0.25">
      <c r="A5" s="870" t="s">
        <v>638</v>
      </c>
      <c r="B5" s="870"/>
      <c r="C5" s="871"/>
      <c r="D5" s="872"/>
      <c r="E5" s="872"/>
      <c r="F5" s="872"/>
      <c r="G5" s="871"/>
      <c r="H5" s="872"/>
      <c r="I5" s="872"/>
      <c r="J5" s="872"/>
      <c r="K5" s="872"/>
      <c r="L5" s="872"/>
      <c r="M5" s="872"/>
      <c r="N5" s="872"/>
      <c r="Q5" s="1382"/>
      <c r="R5" s="1066"/>
      <c r="S5" s="305"/>
      <c r="T5" s="866"/>
      <c r="U5" s="1382"/>
      <c r="V5" s="239"/>
      <c r="W5" s="239"/>
      <c r="X5" s="1383"/>
      <c r="Y5" s="1383"/>
      <c r="Z5" s="239"/>
      <c r="AA5" s="1383"/>
      <c r="AB5" s="1383"/>
      <c r="AC5" s="873"/>
      <c r="AF5" s="873"/>
      <c r="AG5" s="873"/>
      <c r="AR5" s="866"/>
      <c r="AS5" s="866"/>
      <c r="AT5" s="866"/>
      <c r="AU5" s="866"/>
      <c r="AV5" s="866"/>
      <c r="AW5" s="866"/>
      <c r="AX5" s="866"/>
      <c r="AY5" s="866"/>
      <c r="AZ5" s="866"/>
      <c r="BA5" s="866"/>
      <c r="BB5" s="866"/>
      <c r="BC5" s="866"/>
      <c r="BD5" s="866"/>
      <c r="BE5" s="869"/>
      <c r="BF5" s="869"/>
      <c r="BG5" s="869"/>
      <c r="BH5" s="869"/>
      <c r="BI5" s="869"/>
      <c r="BJ5" s="869"/>
      <c r="BK5" s="869"/>
      <c r="BL5" s="869"/>
      <c r="BM5" s="869"/>
      <c r="BN5" s="869"/>
      <c r="BO5" s="869"/>
      <c r="BP5" s="869"/>
      <c r="BQ5" s="869"/>
      <c r="BR5" s="869"/>
      <c r="BS5" s="869"/>
      <c r="BT5" s="869"/>
      <c r="BU5" s="869"/>
      <c r="BV5" s="869"/>
      <c r="BW5" s="869"/>
      <c r="BX5" s="869"/>
      <c r="BY5" s="869"/>
      <c r="BZ5" s="869"/>
      <c r="CA5" s="869"/>
      <c r="CB5" s="869"/>
      <c r="CC5" s="869"/>
      <c r="CD5" s="869"/>
    </row>
    <row r="6" spans="1:83" ht="16.5" customHeight="1" x14ac:dyDescent="0.25">
      <c r="A6" s="307"/>
      <c r="B6" s="307"/>
      <c r="C6" s="283"/>
      <c r="D6" s="283"/>
      <c r="E6" s="283"/>
      <c r="F6" s="283"/>
      <c r="G6" s="283"/>
      <c r="H6" s="283" t="s">
        <v>57</v>
      </c>
      <c r="I6" s="283"/>
      <c r="J6" s="283"/>
      <c r="K6" s="283"/>
      <c r="L6" s="283"/>
      <c r="M6" s="283"/>
      <c r="N6" s="284"/>
      <c r="O6" s="176"/>
      <c r="P6" s="176"/>
      <c r="Q6" s="1382"/>
      <c r="R6" s="1066"/>
      <c r="S6" s="305"/>
      <c r="T6" s="866"/>
      <c r="U6" s="1382"/>
      <c r="V6" s="239"/>
      <c r="W6" s="239"/>
      <c r="X6" s="1383"/>
      <c r="Y6" s="1383"/>
      <c r="Z6" s="239"/>
      <c r="AA6" s="1383"/>
      <c r="AB6" s="1383"/>
      <c r="AD6" s="230"/>
      <c r="AE6" s="265"/>
      <c r="AF6" s="265"/>
      <c r="AG6" s="230"/>
      <c r="AH6" s="230"/>
      <c r="AI6" s="265"/>
      <c r="AJ6" s="265"/>
    </row>
    <row r="7" spans="1:83" ht="6.75" customHeight="1" x14ac:dyDescent="0.25">
      <c r="A7" s="657"/>
      <c r="B7" s="657"/>
      <c r="C7" s="658"/>
      <c r="D7" s="658"/>
      <c r="E7" s="658"/>
      <c r="F7" s="658"/>
      <c r="G7" s="244"/>
      <c r="H7" s="244"/>
      <c r="I7" s="244"/>
      <c r="J7" s="244"/>
      <c r="K7" s="244"/>
      <c r="L7" s="244"/>
      <c r="M7" s="244"/>
      <c r="N7" s="245"/>
      <c r="O7" s="57"/>
      <c r="P7" s="57"/>
      <c r="U7" s="13"/>
      <c r="V7" s="13"/>
      <c r="W7" s="13"/>
      <c r="X7" s="13"/>
      <c r="Y7" s="13"/>
      <c r="Z7" s="13"/>
      <c r="AA7" s="13"/>
      <c r="AB7" s="13"/>
      <c r="AD7" s="230"/>
      <c r="AE7" s="265"/>
      <c r="AF7" s="265"/>
      <c r="AG7" s="230"/>
      <c r="AH7" s="230"/>
      <c r="AI7" s="265"/>
      <c r="AJ7" s="265"/>
    </row>
    <row r="8" spans="1:83" ht="16.5" customHeight="1" x14ac:dyDescent="0.25">
      <c r="A8" s="1194" t="s">
        <v>569</v>
      </c>
      <c r="B8" s="219" t="str">
        <f>'Y1'!B8</f>
        <v>enter PI name in this cell on Y1 tab</v>
      </c>
      <c r="D8" s="219"/>
      <c r="E8" s="219"/>
      <c r="F8" s="219"/>
      <c r="G8" s="280"/>
      <c r="H8" s="246"/>
      <c r="I8" s="246"/>
      <c r="K8" s="1267" t="s">
        <v>573</v>
      </c>
      <c r="L8" s="219" t="str">
        <f>'Y1'!M8</f>
        <v>enter GCO # in this cell on Y1 tab</v>
      </c>
      <c r="M8" s="246"/>
      <c r="N8" s="1054" t="s">
        <v>632</v>
      </c>
      <c r="O8" s="57"/>
      <c r="P8" s="57"/>
      <c r="U8" s="13"/>
      <c r="V8" s="13"/>
      <c r="W8" s="13"/>
      <c r="X8" s="13"/>
      <c r="Y8" s="13"/>
      <c r="Z8" s="13"/>
      <c r="AA8" s="13"/>
      <c r="AB8" s="13"/>
      <c r="AD8" s="230"/>
      <c r="AE8" s="265"/>
      <c r="AF8" s="265"/>
      <c r="AG8" s="230"/>
      <c r="AH8" s="230"/>
      <c r="AI8" s="265"/>
      <c r="AJ8" s="265"/>
    </row>
    <row r="9" spans="1:83" ht="16.5" customHeight="1" x14ac:dyDescent="0.25">
      <c r="A9" s="1194" t="s">
        <v>570</v>
      </c>
      <c r="B9" s="219" t="str">
        <f>'Y1'!B9</f>
        <v>enter funding agency name in this cell on Y1 tab</v>
      </c>
      <c r="D9" s="219"/>
      <c r="E9" s="219"/>
      <c r="F9" s="219"/>
      <c r="G9" s="280"/>
      <c r="H9" s="246"/>
      <c r="I9" s="246"/>
      <c r="K9" s="1267" t="s">
        <v>574</v>
      </c>
      <c r="L9" s="219" t="str">
        <f>'Y1'!M9</f>
        <v>enter fund # in this cell on Y1 tab</v>
      </c>
      <c r="M9" s="246"/>
      <c r="N9" s="285"/>
      <c r="O9" s="57"/>
      <c r="P9" s="57"/>
      <c r="AD9" s="230"/>
      <c r="AE9" s="265"/>
      <c r="AF9" s="265"/>
      <c r="AG9" s="230"/>
      <c r="AH9" s="230"/>
      <c r="AI9" s="265"/>
      <c r="AJ9" s="265"/>
    </row>
    <row r="10" spans="1:83" s="169" customFormat="1" ht="16.5" customHeight="1" x14ac:dyDescent="0.25">
      <c r="A10" s="1194" t="s">
        <v>571</v>
      </c>
      <c r="B10" s="219" t="str">
        <f>'Y1'!B10</f>
        <v>enter project title in this cell on Y1 tab</v>
      </c>
      <c r="D10" s="219"/>
      <c r="E10" s="219"/>
      <c r="F10" s="219"/>
      <c r="G10" s="280"/>
      <c r="H10" s="275"/>
      <c r="I10" s="275"/>
      <c r="K10" s="1267" t="s">
        <v>575</v>
      </c>
      <c r="L10" s="219" t="str">
        <f>'Y1'!M10</f>
        <v>enter agency # in this cell on Y1 tab</v>
      </c>
      <c r="M10" s="275"/>
      <c r="N10" s="286"/>
      <c r="O10" s="19"/>
      <c r="P10" s="19"/>
      <c r="R10" s="160"/>
      <c r="S10" s="160"/>
      <c r="U10" s="1330"/>
      <c r="V10" s="1330"/>
      <c r="W10" s="1330"/>
      <c r="X10" s="1330"/>
      <c r="Y10" s="1330"/>
      <c r="Z10" s="1330"/>
      <c r="AA10" s="1330"/>
      <c r="AB10" s="1330"/>
      <c r="AC10" s="231"/>
      <c r="AD10" s="231"/>
      <c r="AE10" s="266"/>
      <c r="AF10" s="266"/>
      <c r="AG10" s="231"/>
      <c r="AH10" s="231"/>
      <c r="AI10" s="266"/>
      <c r="AJ10" s="266"/>
      <c r="AU10" s="231"/>
      <c r="AV10" s="231"/>
      <c r="AW10" s="231"/>
      <c r="AX10" s="231"/>
      <c r="AY10" s="231"/>
      <c r="AZ10" s="231"/>
      <c r="BA10" s="231"/>
      <c r="BB10" s="231"/>
      <c r="BC10" s="231"/>
      <c r="BD10" s="231"/>
      <c r="BE10" s="231"/>
    </row>
    <row r="11" spans="1:83" s="169" customFormat="1" ht="16.5" customHeight="1" x14ac:dyDescent="0.25">
      <c r="A11" s="1267" t="s">
        <v>572</v>
      </c>
      <c r="B11" s="304" t="s">
        <v>294</v>
      </c>
      <c r="D11" s="1290"/>
      <c r="E11" s="1290"/>
      <c r="F11" s="1290"/>
      <c r="G11" s="280"/>
      <c r="H11" s="275"/>
      <c r="I11" s="275"/>
      <c r="J11" s="275"/>
      <c r="K11" s="275"/>
      <c r="L11" s="275"/>
      <c r="M11" s="275"/>
      <c r="N11" s="286"/>
      <c r="O11" s="19"/>
      <c r="P11" s="19"/>
      <c r="Q11" s="1379"/>
      <c r="R11" s="1380"/>
      <c r="S11" s="1381"/>
      <c r="U11" s="1496" t="s">
        <v>147</v>
      </c>
      <c r="V11" s="1497"/>
      <c r="W11" s="1497"/>
      <c r="X11" s="1497"/>
      <c r="Y11" s="1497"/>
      <c r="Z11" s="1497"/>
      <c r="AA11" s="1497"/>
      <c r="AB11" s="1498"/>
      <c r="AC11" s="231"/>
      <c r="AD11" s="231"/>
      <c r="AE11" s="266"/>
      <c r="AF11" s="266"/>
      <c r="AG11" s="231"/>
      <c r="AH11" s="231"/>
      <c r="AI11" s="266"/>
      <c r="AJ11" s="266"/>
      <c r="AU11" s="231"/>
      <c r="AV11" s="231"/>
      <c r="AW11" s="231"/>
      <c r="AX11" s="231"/>
      <c r="AY11" s="231"/>
      <c r="AZ11" s="231"/>
      <c r="BA11" s="231"/>
      <c r="BB11" s="231"/>
      <c r="BC11" s="231"/>
      <c r="BD11" s="231"/>
      <c r="BE11" s="231"/>
    </row>
    <row r="12" spans="1:83" s="169" customFormat="1" ht="16.5" customHeight="1" x14ac:dyDescent="0.3">
      <c r="A12" s="1194" t="s">
        <v>105</v>
      </c>
      <c r="B12" s="1194"/>
      <c r="C12" s="659" t="s">
        <v>2</v>
      </c>
      <c r="D12" s="659"/>
      <c r="E12" s="659"/>
      <c r="F12" s="659"/>
      <c r="G12" s="282"/>
      <c r="H12" s="275"/>
      <c r="I12" s="275"/>
      <c r="J12" s="275"/>
      <c r="K12" s="275"/>
      <c r="L12" s="699" t="s">
        <v>44</v>
      </c>
      <c r="M12" s="699"/>
      <c r="N12" s="699"/>
      <c r="O12" s="19"/>
      <c r="P12" s="19"/>
      <c r="Q12" s="233"/>
      <c r="R12" s="1494" t="s">
        <v>195</v>
      </c>
      <c r="S12" s="1069"/>
      <c r="T12" s="1159"/>
      <c r="U12" s="235"/>
      <c r="V12" s="236"/>
      <c r="W12" s="237"/>
      <c r="X12" s="1459" t="s">
        <v>556</v>
      </c>
      <c r="Y12" s="1459" t="s">
        <v>557</v>
      </c>
      <c r="Z12" s="1499" t="s">
        <v>154</v>
      </c>
      <c r="AA12" s="1459" t="s">
        <v>155</v>
      </c>
      <c r="AB12" s="1219"/>
      <c r="AC12" s="239"/>
      <c r="AD12" s="1479"/>
      <c r="AE12" s="1480"/>
      <c r="AF12" s="1480"/>
      <c r="AG12" s="1480"/>
      <c r="AH12" s="1480"/>
      <c r="AI12" s="1480"/>
      <c r="AJ12" s="1481"/>
      <c r="AL12" s="138" t="s">
        <v>157</v>
      </c>
      <c r="AM12" s="138" t="s">
        <v>158</v>
      </c>
      <c r="AN12" s="9"/>
      <c r="AO12" s="138" t="s">
        <v>157</v>
      </c>
      <c r="AP12" s="138" t="s">
        <v>158</v>
      </c>
      <c r="AQ12" s="1"/>
      <c r="AR12" s="138" t="s">
        <v>157</v>
      </c>
      <c r="AS12" s="138" t="s">
        <v>158</v>
      </c>
      <c r="AT12" s="169" t="s">
        <v>4</v>
      </c>
      <c r="AU12" s="231"/>
      <c r="AV12" s="231"/>
      <c r="AW12" s="231"/>
      <c r="AX12" s="231"/>
      <c r="AY12" s="231"/>
      <c r="AZ12" s="231"/>
      <c r="BA12" s="231"/>
      <c r="BB12" s="231"/>
      <c r="BC12" s="231"/>
      <c r="BD12" s="231"/>
      <c r="BE12" s="231"/>
    </row>
    <row r="13" spans="1:83" ht="7.2" customHeight="1" x14ac:dyDescent="0.25">
      <c r="A13" s="230"/>
      <c r="B13" s="866"/>
      <c r="C13" s="529"/>
      <c r="D13" s="529"/>
      <c r="E13" s="529"/>
      <c r="F13" s="529"/>
      <c r="G13" s="262"/>
      <c r="H13" s="262"/>
      <c r="I13" s="262"/>
      <c r="J13" s="262"/>
      <c r="K13" s="262"/>
      <c r="L13" s="1183" t="s">
        <v>22</v>
      </c>
      <c r="M13" s="1184"/>
      <c r="N13" s="1182">
        <v>0.30499999999999999</v>
      </c>
      <c r="O13" s="177"/>
      <c r="P13" s="177"/>
      <c r="Q13" s="1493" t="s">
        <v>590</v>
      </c>
      <c r="R13" s="1494"/>
      <c r="S13" s="1069"/>
      <c r="T13" s="866"/>
      <c r="U13" s="1501" t="s">
        <v>148</v>
      </c>
      <c r="V13" s="1499" t="s">
        <v>151</v>
      </c>
      <c r="W13" s="1499" t="s">
        <v>152</v>
      </c>
      <c r="X13" s="1459"/>
      <c r="Y13" s="1459"/>
      <c r="Z13" s="1499"/>
      <c r="AA13" s="1459"/>
      <c r="AB13" s="1219"/>
      <c r="AC13" s="239"/>
      <c r="AD13" s="271"/>
      <c r="AE13" s="272"/>
      <c r="AF13" s="272"/>
      <c r="AG13" s="262"/>
      <c r="AH13" s="262"/>
      <c r="AI13" s="272"/>
      <c r="AJ13" s="273"/>
    </row>
    <row r="14" spans="1:83" ht="16.5" customHeight="1" x14ac:dyDescent="0.25">
      <c r="A14" s="93" t="s">
        <v>28</v>
      </c>
      <c r="B14" s="93"/>
      <c r="C14" s="605"/>
      <c r="D14" s="605"/>
      <c r="E14" s="605"/>
      <c r="F14" s="605"/>
      <c r="G14" s="329"/>
      <c r="H14" s="329"/>
      <c r="I14" s="329"/>
      <c r="J14" s="329"/>
      <c r="K14" s="329"/>
      <c r="L14" s="1185" t="s">
        <v>21</v>
      </c>
      <c r="M14" s="1186"/>
      <c r="N14" s="1179">
        <v>0.315</v>
      </c>
      <c r="O14" s="177"/>
      <c r="P14" s="177"/>
      <c r="Q14" s="1493"/>
      <c r="R14" s="1494"/>
      <c r="S14" s="1070"/>
      <c r="T14" s="866"/>
      <c r="U14" s="1501"/>
      <c r="V14" s="1499"/>
      <c r="W14" s="1499"/>
      <c r="X14" s="1459"/>
      <c r="Y14" s="1459"/>
      <c r="Z14" s="1499"/>
      <c r="AA14" s="1459"/>
      <c r="AB14" s="1219"/>
      <c r="AC14" s="239"/>
      <c r="AD14" s="274"/>
      <c r="AE14" s="272"/>
      <c r="AF14" s="275" t="s">
        <v>31</v>
      </c>
      <c r="AG14" s="262"/>
      <c r="AH14" s="275" t="s">
        <v>185</v>
      </c>
      <c r="AI14" s="272" t="s">
        <v>203</v>
      </c>
      <c r="AJ14" s="273" t="s">
        <v>204</v>
      </c>
      <c r="AL14" s="64" t="s">
        <v>31</v>
      </c>
    </row>
    <row r="15" spans="1:83" ht="16.5" customHeight="1" x14ac:dyDescent="0.25">
      <c r="A15" s="1187" t="s">
        <v>5</v>
      </c>
      <c r="B15" s="1187"/>
      <c r="C15" s="529"/>
      <c r="D15" s="529"/>
      <c r="E15" s="529"/>
      <c r="F15" s="529"/>
      <c r="G15" s="331"/>
      <c r="H15" s="1280"/>
      <c r="I15" s="1280"/>
      <c r="J15" s="1285"/>
      <c r="K15" s="262"/>
      <c r="L15" s="230"/>
      <c r="M15" s="230"/>
      <c r="N15" s="286"/>
      <c r="O15" s="178"/>
      <c r="P15" s="178"/>
      <c r="Q15" s="1493"/>
      <c r="R15" s="1494"/>
      <c r="S15" s="1070"/>
      <c r="T15" s="866"/>
      <c r="U15" s="1501"/>
      <c r="V15" s="1499"/>
      <c r="W15" s="1499"/>
      <c r="X15" s="1459"/>
      <c r="Y15" s="1459"/>
      <c r="Z15" s="1499"/>
      <c r="AA15" s="1459"/>
      <c r="AB15" s="1219"/>
      <c r="AC15" s="239"/>
      <c r="AD15" s="274"/>
      <c r="AE15" s="276"/>
      <c r="AF15" s="276"/>
      <c r="AG15" s="277" t="s">
        <v>36</v>
      </c>
      <c r="AH15" s="275" t="s">
        <v>186</v>
      </c>
      <c r="AI15" s="278" t="s">
        <v>136</v>
      </c>
      <c r="AJ15" s="279" t="s">
        <v>137</v>
      </c>
    </row>
    <row r="16" spans="1:83" s="1158" customFormat="1" ht="30" customHeight="1" thickBot="1" x14ac:dyDescent="0.3">
      <c r="A16" s="1207" t="s">
        <v>36</v>
      </c>
      <c r="B16" s="1207"/>
      <c r="C16" s="1208" t="s">
        <v>25</v>
      </c>
      <c r="D16" s="1217" t="s">
        <v>6</v>
      </c>
      <c r="E16" s="1217"/>
      <c r="F16" s="1217" t="s">
        <v>568</v>
      </c>
      <c r="G16" s="1218" t="s">
        <v>27</v>
      </c>
      <c r="H16" s="1218" t="s">
        <v>558</v>
      </c>
      <c r="I16" s="1217"/>
      <c r="J16" s="1217"/>
      <c r="K16" s="1218" t="s">
        <v>7</v>
      </c>
      <c r="L16" s="1218" t="s">
        <v>54</v>
      </c>
      <c r="M16" s="1218" t="s">
        <v>55</v>
      </c>
      <c r="N16" s="1410" t="s">
        <v>8</v>
      </c>
      <c r="O16" s="1188"/>
      <c r="P16" s="1188"/>
      <c r="Q16" s="1493"/>
      <c r="R16" s="1495"/>
      <c r="S16" s="1071" t="s">
        <v>131</v>
      </c>
      <c r="T16" s="1159"/>
      <c r="U16" s="1502"/>
      <c r="V16" s="1500"/>
      <c r="W16" s="1500"/>
      <c r="X16" s="1460"/>
      <c r="Y16" s="1460"/>
      <c r="Z16" s="1500"/>
      <c r="AA16" s="1460"/>
      <c r="AB16" s="1220"/>
      <c r="AC16" s="275"/>
      <c r="AD16" s="488"/>
      <c r="AE16" s="489"/>
      <c r="AF16" s="490"/>
      <c r="AG16" s="1190"/>
      <c r="AH16" s="1465" t="s">
        <v>160</v>
      </c>
      <c r="AI16" s="1465"/>
      <c r="AJ16" s="1466"/>
      <c r="AL16" s="1472" t="s">
        <v>159</v>
      </c>
      <c r="AM16" s="1472"/>
      <c r="AO16" s="1473" t="s">
        <v>160</v>
      </c>
      <c r="AP16" s="1473"/>
      <c r="AR16" s="1474" t="s">
        <v>161</v>
      </c>
      <c r="AS16" s="1474"/>
      <c r="AT16" s="1474"/>
      <c r="AU16" s="1159"/>
      <c r="AV16" s="1159"/>
      <c r="AW16" s="1159"/>
      <c r="AX16" s="1159"/>
      <c r="AY16" s="1159"/>
      <c r="AZ16" s="1159"/>
      <c r="BA16" s="1159"/>
      <c r="BB16" s="1159"/>
      <c r="BC16" s="1159"/>
      <c r="BD16" s="1159"/>
      <c r="BE16" s="1159"/>
    </row>
    <row r="17" spans="1:46" ht="16.5" customHeight="1" thickTop="1" thickBot="1" x14ac:dyDescent="0.3">
      <c r="A17" s="601"/>
      <c r="B17" s="1337"/>
      <c r="C17" s="226"/>
      <c r="D17" s="1313"/>
      <c r="E17" s="1374"/>
      <c r="F17" s="223" t="str">
        <f t="shared" ref="F17:F24" si="0">IF(Q17=12, "n/a ", IF(AND(Q17&lt;12, R17="Yes"), "n/a", D17*S17))</f>
        <v xml:space="preserve">n/a </v>
      </c>
      <c r="G17" s="227"/>
      <c r="H17" s="1436"/>
      <c r="I17" s="224"/>
      <c r="J17" s="1291"/>
      <c r="K17" s="398">
        <f>IF(AND(L105="Yes",G17&gt;L122),L122*D17*S17,IF(AND(Q17=12,U17="Yes"),G17*Z17,IF(AND(Q17&lt;12,U17="Yes"),G17*S17*Z17,G17*D17*S17)))</f>
        <v>0</v>
      </c>
      <c r="L17" s="223">
        <f t="shared" ref="L17:L24" si="1">IF(AND($G$285="No",$L$230="No"),$M$231,IF(AND($G$285="No",$L$230="Yes"),$N$14,$N$13))</f>
        <v>0.30499999999999999</v>
      </c>
      <c r="M17" s="398">
        <f t="shared" ref="M17:M24" si="2">K17*L17</f>
        <v>0</v>
      </c>
      <c r="N17" s="513">
        <f t="shared" ref="N17:N24" si="3">K17+M17</f>
        <v>0</v>
      </c>
      <c r="O17" s="25"/>
      <c r="P17" s="25"/>
      <c r="Q17" s="836">
        <v>12</v>
      </c>
      <c r="R17" s="1072" t="s">
        <v>60</v>
      </c>
      <c r="S17" s="1073">
        <f t="shared" ref="S17:S24" si="4">Q17/12</f>
        <v>1</v>
      </c>
      <c r="T17" s="230"/>
      <c r="U17" s="877" t="s">
        <v>60</v>
      </c>
      <c r="V17" s="886" t="str">
        <f t="shared" ref="V17:V24" si="5">IF(U17="No", " ", Z17/D17)</f>
        <v xml:space="preserve"> </v>
      </c>
      <c r="W17" s="887" t="str">
        <f>IF(U17="No", " ", 1-V17)</f>
        <v xml:space="preserve"> </v>
      </c>
      <c r="X17" s="1297"/>
      <c r="Y17" s="1306" t="str">
        <f>IF(AA17 = " ", " ", AA17*12)</f>
        <v xml:space="preserve"> </v>
      </c>
      <c r="Z17" s="846">
        <f>X17/12</f>
        <v>0</v>
      </c>
      <c r="AA17" s="119" t="str">
        <f t="shared" ref="AA17:AA24" si="6">IF(AND(Q17=12,U17="Yes"),D17-Z17,IF(AND(Q17&lt;12,U17="Yes"),F17-Z17," "))</f>
        <v xml:space="preserve"> </v>
      </c>
      <c r="AB17" s="166" t="str">
        <f t="shared" ref="AB17:AB24" si="7">IF(AND(Q17=12,U17="Yes",Z17&gt;D17),"ERROR",IF(AND(Q17&lt;12,U17="Yes",Z17&gt;F17),"ERROR"," "))</f>
        <v xml:space="preserve"> </v>
      </c>
      <c r="AC17" s="697"/>
      <c r="AD17" s="258"/>
      <c r="AE17" s="259"/>
      <c r="AF17" s="259"/>
      <c r="AG17" s="302">
        <f t="shared" ref="AG17:AG24" si="8">A17</f>
        <v>0</v>
      </c>
      <c r="AH17" s="303">
        <f t="shared" ref="AH17:AH24" si="9">N17</f>
        <v>0</v>
      </c>
      <c r="AI17" s="837"/>
      <c r="AJ17" s="264">
        <f>1-AI17</f>
        <v>1</v>
      </c>
      <c r="AL17" s="4">
        <f t="shared" ref="AL17:AL24" si="10">N17*AE17</f>
        <v>0</v>
      </c>
      <c r="AM17" s="4">
        <f t="shared" ref="AM17:AM24" si="11">N17*AF17</f>
        <v>0</v>
      </c>
      <c r="AO17" s="4">
        <f t="shared" ref="AO17:AO24" si="12">N17*AI17</f>
        <v>0</v>
      </c>
      <c r="AP17" s="4">
        <f t="shared" ref="AP17:AP24" si="13">N17*AJ17</f>
        <v>0</v>
      </c>
      <c r="AR17" s="4">
        <f t="shared" ref="AR17:AS24" si="14">AL17+AO17</f>
        <v>0</v>
      </c>
      <c r="AS17" s="4">
        <f t="shared" si="14"/>
        <v>0</v>
      </c>
      <c r="AT17" s="4">
        <f>AR17+AS17</f>
        <v>0</v>
      </c>
    </row>
    <row r="18" spans="1:46" ht="16.5" customHeight="1" thickTop="1" thickBot="1" x14ac:dyDescent="0.3">
      <c r="A18" s="601"/>
      <c r="B18" s="1337"/>
      <c r="C18" s="226"/>
      <c r="D18" s="1313"/>
      <c r="E18" s="1374"/>
      <c r="F18" s="223" t="str">
        <f t="shared" si="0"/>
        <v xml:space="preserve">n/a </v>
      </c>
      <c r="G18" s="227"/>
      <c r="H18" s="1436"/>
      <c r="I18" s="224"/>
      <c r="J18" s="1291"/>
      <c r="K18" s="398">
        <f t="shared" ref="K18:K24" si="15">IF(AND(Q18=12,U18="Yes"),G18*Z18,IF(AND(Q18&lt;12,U18="Yes"),G18*S18*Z18,IF(AND(R18="Yes",U18="No"),G18*D18*S18,G18*D18*S18)))</f>
        <v>0</v>
      </c>
      <c r="L18" s="223">
        <f t="shared" si="1"/>
        <v>0.30499999999999999</v>
      </c>
      <c r="M18" s="398">
        <f t="shared" si="2"/>
        <v>0</v>
      </c>
      <c r="N18" s="513">
        <f t="shared" si="3"/>
        <v>0</v>
      </c>
      <c r="O18" s="25"/>
      <c r="P18" s="25"/>
      <c r="Q18" s="836">
        <v>12</v>
      </c>
      <c r="R18" s="1072" t="s">
        <v>60</v>
      </c>
      <c r="S18" s="1073">
        <f t="shared" si="4"/>
        <v>1</v>
      </c>
      <c r="T18" s="230"/>
      <c r="U18" s="877" t="s">
        <v>60</v>
      </c>
      <c r="V18" s="886" t="str">
        <f t="shared" si="5"/>
        <v xml:space="preserve"> </v>
      </c>
      <c r="W18" s="888" t="str">
        <f t="shared" ref="W18:W24" si="16">IF(U18="No", " ", 1-V18)</f>
        <v xml:space="preserve"> </v>
      </c>
      <c r="X18" s="1297"/>
      <c r="Y18" s="1306" t="str">
        <f t="shared" ref="Y18:Y24" si="17">IF(AA18 = " ", " ", AA18*12)</f>
        <v xml:space="preserve"> </v>
      </c>
      <c r="Z18" s="846">
        <f t="shared" ref="Z18:Z24" si="18">X18/12</f>
        <v>0</v>
      </c>
      <c r="AA18" s="119" t="str">
        <f t="shared" si="6"/>
        <v xml:space="preserve"> </v>
      </c>
      <c r="AB18" s="151" t="str">
        <f t="shared" si="7"/>
        <v xml:space="preserve"> </v>
      </c>
      <c r="AC18" s="697"/>
      <c r="AD18" s="258"/>
      <c r="AE18" s="259"/>
      <c r="AF18" s="259"/>
      <c r="AG18" s="302">
        <f t="shared" si="8"/>
        <v>0</v>
      </c>
      <c r="AH18" s="303">
        <f t="shared" si="9"/>
        <v>0</v>
      </c>
      <c r="AI18" s="837"/>
      <c r="AJ18" s="264">
        <f t="shared" ref="AJ18:AJ24" si="19">1-AI18</f>
        <v>1</v>
      </c>
      <c r="AL18" s="4">
        <f t="shared" si="10"/>
        <v>0</v>
      </c>
      <c r="AM18" s="4">
        <f t="shared" si="11"/>
        <v>0</v>
      </c>
      <c r="AO18" s="4">
        <f t="shared" si="12"/>
        <v>0</v>
      </c>
      <c r="AP18" s="4">
        <f t="shared" si="13"/>
        <v>0</v>
      </c>
      <c r="AR18" s="4">
        <f t="shared" si="14"/>
        <v>0</v>
      </c>
      <c r="AS18" s="4">
        <f t="shared" si="14"/>
        <v>0</v>
      </c>
      <c r="AT18" s="4">
        <f t="shared" ref="AT18:AT25" si="20">AR18+AS18</f>
        <v>0</v>
      </c>
    </row>
    <row r="19" spans="1:46" ht="16.5" customHeight="1" thickTop="1" thickBot="1" x14ac:dyDescent="0.3">
      <c r="A19" s="602"/>
      <c r="B19" s="1337"/>
      <c r="C19" s="226"/>
      <c r="D19" s="1313"/>
      <c r="E19" s="1374"/>
      <c r="F19" s="223" t="str">
        <f t="shared" si="0"/>
        <v xml:space="preserve">n/a </v>
      </c>
      <c r="G19" s="227"/>
      <c r="H19" s="1436"/>
      <c r="I19" s="224"/>
      <c r="J19" s="1291"/>
      <c r="K19" s="398">
        <f t="shared" si="15"/>
        <v>0</v>
      </c>
      <c r="L19" s="223">
        <f t="shared" si="1"/>
        <v>0.30499999999999999</v>
      </c>
      <c r="M19" s="398">
        <f t="shared" si="2"/>
        <v>0</v>
      </c>
      <c r="N19" s="513">
        <f t="shared" si="3"/>
        <v>0</v>
      </c>
      <c r="O19" s="25"/>
      <c r="P19" s="25"/>
      <c r="Q19" s="836">
        <v>12</v>
      </c>
      <c r="R19" s="1072" t="s">
        <v>60</v>
      </c>
      <c r="S19" s="1073">
        <f t="shared" si="4"/>
        <v>1</v>
      </c>
      <c r="T19" s="230"/>
      <c r="U19" s="877" t="s">
        <v>60</v>
      </c>
      <c r="V19" s="886" t="str">
        <f t="shared" si="5"/>
        <v xml:space="preserve"> </v>
      </c>
      <c r="W19" s="888" t="str">
        <f t="shared" si="16"/>
        <v xml:space="preserve"> </v>
      </c>
      <c r="X19" s="1297"/>
      <c r="Y19" s="1306" t="str">
        <f t="shared" si="17"/>
        <v xml:space="preserve"> </v>
      </c>
      <c r="Z19" s="846">
        <f t="shared" si="18"/>
        <v>0</v>
      </c>
      <c r="AA19" s="119" t="str">
        <f t="shared" si="6"/>
        <v xml:space="preserve"> </v>
      </c>
      <c r="AB19" s="151" t="str">
        <f t="shared" si="7"/>
        <v xml:space="preserve"> </v>
      </c>
      <c r="AC19" s="697"/>
      <c r="AD19" s="258"/>
      <c r="AE19" s="259"/>
      <c r="AF19" s="259"/>
      <c r="AG19" s="302">
        <f t="shared" si="8"/>
        <v>0</v>
      </c>
      <c r="AH19" s="303">
        <f t="shared" si="9"/>
        <v>0</v>
      </c>
      <c r="AI19" s="837"/>
      <c r="AJ19" s="264">
        <f t="shared" si="19"/>
        <v>1</v>
      </c>
      <c r="AL19" s="4">
        <f t="shared" si="10"/>
        <v>0</v>
      </c>
      <c r="AM19" s="4">
        <f t="shared" si="11"/>
        <v>0</v>
      </c>
      <c r="AO19" s="4">
        <f t="shared" si="12"/>
        <v>0</v>
      </c>
      <c r="AP19" s="4">
        <f t="shared" si="13"/>
        <v>0</v>
      </c>
      <c r="AR19" s="4">
        <f t="shared" si="14"/>
        <v>0</v>
      </c>
      <c r="AS19" s="4">
        <f t="shared" si="14"/>
        <v>0</v>
      </c>
      <c r="AT19" s="4">
        <f t="shared" si="20"/>
        <v>0</v>
      </c>
    </row>
    <row r="20" spans="1:46" ht="16.5" customHeight="1" thickTop="1" thickBot="1" x14ac:dyDescent="0.3">
      <c r="A20" s="601"/>
      <c r="B20" s="1337"/>
      <c r="C20" s="226"/>
      <c r="D20" s="1313"/>
      <c r="E20" s="1374"/>
      <c r="F20" s="223" t="str">
        <f t="shared" si="0"/>
        <v xml:space="preserve">n/a </v>
      </c>
      <c r="G20" s="227"/>
      <c r="H20" s="1436"/>
      <c r="I20" s="224"/>
      <c r="J20" s="1291"/>
      <c r="K20" s="398">
        <f t="shared" si="15"/>
        <v>0</v>
      </c>
      <c r="L20" s="223">
        <f t="shared" si="1"/>
        <v>0.30499999999999999</v>
      </c>
      <c r="M20" s="398">
        <f t="shared" si="2"/>
        <v>0</v>
      </c>
      <c r="N20" s="513">
        <f t="shared" si="3"/>
        <v>0</v>
      </c>
      <c r="O20" s="25"/>
      <c r="P20" s="25"/>
      <c r="Q20" s="836">
        <v>12</v>
      </c>
      <c r="R20" s="1072" t="s">
        <v>60</v>
      </c>
      <c r="S20" s="1073">
        <f t="shared" si="4"/>
        <v>1</v>
      </c>
      <c r="T20" s="230"/>
      <c r="U20" s="877" t="s">
        <v>60</v>
      </c>
      <c r="V20" s="886" t="str">
        <f t="shared" si="5"/>
        <v xml:space="preserve"> </v>
      </c>
      <c r="W20" s="888" t="str">
        <f t="shared" si="16"/>
        <v xml:space="preserve"> </v>
      </c>
      <c r="X20" s="1297"/>
      <c r="Y20" s="1306" t="str">
        <f t="shared" si="17"/>
        <v xml:space="preserve"> </v>
      </c>
      <c r="Z20" s="846">
        <f t="shared" si="18"/>
        <v>0</v>
      </c>
      <c r="AA20" s="119" t="str">
        <f t="shared" si="6"/>
        <v xml:space="preserve"> </v>
      </c>
      <c r="AB20" s="151" t="str">
        <f t="shared" si="7"/>
        <v xml:space="preserve"> </v>
      </c>
      <c r="AC20" s="697"/>
      <c r="AD20" s="258"/>
      <c r="AE20" s="259"/>
      <c r="AF20" s="259"/>
      <c r="AG20" s="302">
        <f t="shared" si="8"/>
        <v>0</v>
      </c>
      <c r="AH20" s="303">
        <f t="shared" si="9"/>
        <v>0</v>
      </c>
      <c r="AI20" s="837"/>
      <c r="AJ20" s="264">
        <f t="shared" si="19"/>
        <v>1</v>
      </c>
      <c r="AL20" s="4">
        <f t="shared" si="10"/>
        <v>0</v>
      </c>
      <c r="AM20" s="4">
        <f t="shared" si="11"/>
        <v>0</v>
      </c>
      <c r="AO20" s="4">
        <f t="shared" si="12"/>
        <v>0</v>
      </c>
      <c r="AP20" s="4">
        <f t="shared" si="13"/>
        <v>0</v>
      </c>
      <c r="AR20" s="4">
        <f t="shared" si="14"/>
        <v>0</v>
      </c>
      <c r="AS20" s="4">
        <f t="shared" si="14"/>
        <v>0</v>
      </c>
      <c r="AT20" s="4">
        <f t="shared" si="20"/>
        <v>0</v>
      </c>
    </row>
    <row r="21" spans="1:46" ht="16.5" customHeight="1" thickTop="1" thickBot="1" x14ac:dyDescent="0.3">
      <c r="A21" s="601"/>
      <c r="B21" s="1337"/>
      <c r="C21" s="226"/>
      <c r="D21" s="1313"/>
      <c r="E21" s="1374"/>
      <c r="F21" s="223" t="str">
        <f t="shared" si="0"/>
        <v xml:space="preserve">n/a </v>
      </c>
      <c r="G21" s="227"/>
      <c r="H21" s="1436"/>
      <c r="I21" s="224"/>
      <c r="J21" s="1291"/>
      <c r="K21" s="398">
        <f t="shared" si="15"/>
        <v>0</v>
      </c>
      <c r="L21" s="223">
        <f t="shared" si="1"/>
        <v>0.30499999999999999</v>
      </c>
      <c r="M21" s="398">
        <f t="shared" si="2"/>
        <v>0</v>
      </c>
      <c r="N21" s="513">
        <f t="shared" si="3"/>
        <v>0</v>
      </c>
      <c r="O21" s="25"/>
      <c r="P21" s="25"/>
      <c r="Q21" s="836">
        <v>12</v>
      </c>
      <c r="R21" s="1072" t="s">
        <v>60</v>
      </c>
      <c r="S21" s="1073">
        <f t="shared" si="4"/>
        <v>1</v>
      </c>
      <c r="T21" s="230"/>
      <c r="U21" s="877" t="s">
        <v>60</v>
      </c>
      <c r="V21" s="886" t="str">
        <f t="shared" si="5"/>
        <v xml:space="preserve"> </v>
      </c>
      <c r="W21" s="888" t="str">
        <f t="shared" si="16"/>
        <v xml:space="preserve"> </v>
      </c>
      <c r="X21" s="1297"/>
      <c r="Y21" s="1306" t="str">
        <f t="shared" si="17"/>
        <v xml:space="preserve"> </v>
      </c>
      <c r="Z21" s="846">
        <f t="shared" si="18"/>
        <v>0</v>
      </c>
      <c r="AA21" s="119" t="str">
        <f t="shared" si="6"/>
        <v xml:space="preserve"> </v>
      </c>
      <c r="AB21" s="151" t="str">
        <f t="shared" si="7"/>
        <v xml:space="preserve"> </v>
      </c>
      <c r="AC21" s="697"/>
      <c r="AD21" s="258"/>
      <c r="AE21" s="259"/>
      <c r="AF21" s="259"/>
      <c r="AG21" s="302">
        <f t="shared" si="8"/>
        <v>0</v>
      </c>
      <c r="AH21" s="303">
        <f t="shared" si="9"/>
        <v>0</v>
      </c>
      <c r="AI21" s="837"/>
      <c r="AJ21" s="264">
        <f t="shared" si="19"/>
        <v>1</v>
      </c>
      <c r="AL21" s="4">
        <f t="shared" si="10"/>
        <v>0</v>
      </c>
      <c r="AM21" s="4">
        <f t="shared" si="11"/>
        <v>0</v>
      </c>
      <c r="AO21" s="4">
        <f t="shared" si="12"/>
        <v>0</v>
      </c>
      <c r="AP21" s="4">
        <f t="shared" si="13"/>
        <v>0</v>
      </c>
      <c r="AR21" s="4">
        <f t="shared" si="14"/>
        <v>0</v>
      </c>
      <c r="AS21" s="4">
        <f t="shared" si="14"/>
        <v>0</v>
      </c>
      <c r="AT21" s="4">
        <f t="shared" si="20"/>
        <v>0</v>
      </c>
    </row>
    <row r="22" spans="1:46" ht="16.5" customHeight="1" thickTop="1" thickBot="1" x14ac:dyDescent="0.3">
      <c r="A22" s="601"/>
      <c r="B22" s="1337"/>
      <c r="C22" s="226"/>
      <c r="D22" s="1313"/>
      <c r="E22" s="1374"/>
      <c r="F22" s="223" t="str">
        <f t="shared" si="0"/>
        <v xml:space="preserve">n/a </v>
      </c>
      <c r="G22" s="227"/>
      <c r="H22" s="1436"/>
      <c r="I22" s="224"/>
      <c r="J22" s="1291"/>
      <c r="K22" s="398">
        <f t="shared" si="15"/>
        <v>0</v>
      </c>
      <c r="L22" s="223">
        <f t="shared" si="1"/>
        <v>0.30499999999999999</v>
      </c>
      <c r="M22" s="398">
        <f t="shared" si="2"/>
        <v>0</v>
      </c>
      <c r="N22" s="513">
        <f t="shared" si="3"/>
        <v>0</v>
      </c>
      <c r="O22" s="25"/>
      <c r="P22" s="25"/>
      <c r="Q22" s="836">
        <v>12</v>
      </c>
      <c r="R22" s="1072" t="s">
        <v>60</v>
      </c>
      <c r="S22" s="1073">
        <f t="shared" si="4"/>
        <v>1</v>
      </c>
      <c r="T22" s="230"/>
      <c r="U22" s="877" t="s">
        <v>60</v>
      </c>
      <c r="V22" s="886" t="str">
        <f t="shared" si="5"/>
        <v xml:space="preserve"> </v>
      </c>
      <c r="W22" s="888" t="str">
        <f t="shared" si="16"/>
        <v xml:space="preserve"> </v>
      </c>
      <c r="X22" s="1297"/>
      <c r="Y22" s="1306" t="str">
        <f t="shared" si="17"/>
        <v xml:space="preserve"> </v>
      </c>
      <c r="Z22" s="846">
        <f t="shared" si="18"/>
        <v>0</v>
      </c>
      <c r="AA22" s="119" t="str">
        <f t="shared" si="6"/>
        <v xml:space="preserve"> </v>
      </c>
      <c r="AB22" s="151" t="str">
        <f t="shared" si="7"/>
        <v xml:space="preserve"> </v>
      </c>
      <c r="AC22" s="697"/>
      <c r="AD22" s="258"/>
      <c r="AE22" s="259"/>
      <c r="AF22" s="259"/>
      <c r="AG22" s="302">
        <f t="shared" si="8"/>
        <v>0</v>
      </c>
      <c r="AH22" s="303">
        <f t="shared" si="9"/>
        <v>0</v>
      </c>
      <c r="AI22" s="837"/>
      <c r="AJ22" s="264">
        <f t="shared" si="19"/>
        <v>1</v>
      </c>
      <c r="AL22" s="4">
        <f t="shared" si="10"/>
        <v>0</v>
      </c>
      <c r="AM22" s="4">
        <f t="shared" si="11"/>
        <v>0</v>
      </c>
      <c r="AO22" s="4">
        <f t="shared" si="12"/>
        <v>0</v>
      </c>
      <c r="AP22" s="4">
        <f t="shared" si="13"/>
        <v>0</v>
      </c>
      <c r="AR22" s="4">
        <f t="shared" si="14"/>
        <v>0</v>
      </c>
      <c r="AS22" s="4">
        <f t="shared" si="14"/>
        <v>0</v>
      </c>
      <c r="AT22" s="4">
        <f t="shared" si="20"/>
        <v>0</v>
      </c>
    </row>
    <row r="23" spans="1:46" ht="16.5" customHeight="1" thickTop="1" thickBot="1" x14ac:dyDescent="0.3">
      <c r="A23" s="601"/>
      <c r="B23" s="1337"/>
      <c r="C23" s="226"/>
      <c r="D23" s="1313"/>
      <c r="E23" s="1374"/>
      <c r="F23" s="223" t="str">
        <f t="shared" si="0"/>
        <v xml:space="preserve">n/a </v>
      </c>
      <c r="G23" s="227"/>
      <c r="H23" s="1436"/>
      <c r="I23" s="224"/>
      <c r="J23" s="1291"/>
      <c r="K23" s="398">
        <f t="shared" si="15"/>
        <v>0</v>
      </c>
      <c r="L23" s="223">
        <f t="shared" si="1"/>
        <v>0.30499999999999999</v>
      </c>
      <c r="M23" s="398">
        <f t="shared" si="2"/>
        <v>0</v>
      </c>
      <c r="N23" s="513">
        <f t="shared" si="3"/>
        <v>0</v>
      </c>
      <c r="O23" s="25"/>
      <c r="P23" s="25"/>
      <c r="Q23" s="836">
        <v>12</v>
      </c>
      <c r="R23" s="1072" t="s">
        <v>60</v>
      </c>
      <c r="S23" s="1073">
        <f t="shared" si="4"/>
        <v>1</v>
      </c>
      <c r="T23" s="230"/>
      <c r="U23" s="877" t="s">
        <v>60</v>
      </c>
      <c r="V23" s="886" t="str">
        <f t="shared" si="5"/>
        <v xml:space="preserve"> </v>
      </c>
      <c r="W23" s="888" t="str">
        <f t="shared" si="16"/>
        <v xml:space="preserve"> </v>
      </c>
      <c r="X23" s="1297"/>
      <c r="Y23" s="1306" t="str">
        <f t="shared" si="17"/>
        <v xml:space="preserve"> </v>
      </c>
      <c r="Z23" s="846">
        <f t="shared" si="18"/>
        <v>0</v>
      </c>
      <c r="AA23" s="119" t="str">
        <f t="shared" si="6"/>
        <v xml:space="preserve"> </v>
      </c>
      <c r="AB23" s="151" t="str">
        <f t="shared" si="7"/>
        <v xml:space="preserve"> </v>
      </c>
      <c r="AC23" s="697"/>
      <c r="AD23" s="258"/>
      <c r="AE23" s="259"/>
      <c r="AF23" s="259"/>
      <c r="AG23" s="302">
        <f t="shared" si="8"/>
        <v>0</v>
      </c>
      <c r="AH23" s="303">
        <f t="shared" si="9"/>
        <v>0</v>
      </c>
      <c r="AI23" s="837"/>
      <c r="AJ23" s="264">
        <f t="shared" si="19"/>
        <v>1</v>
      </c>
      <c r="AL23" s="4">
        <f t="shared" si="10"/>
        <v>0</v>
      </c>
      <c r="AM23" s="4">
        <f t="shared" si="11"/>
        <v>0</v>
      </c>
      <c r="AO23" s="4">
        <f t="shared" si="12"/>
        <v>0</v>
      </c>
      <c r="AP23" s="4">
        <f t="shared" si="13"/>
        <v>0</v>
      </c>
      <c r="AR23" s="4">
        <f t="shared" si="14"/>
        <v>0</v>
      </c>
      <c r="AS23" s="4">
        <f t="shared" si="14"/>
        <v>0</v>
      </c>
      <c r="AT23" s="4">
        <f t="shared" si="20"/>
        <v>0</v>
      </c>
    </row>
    <row r="24" spans="1:46" ht="16.5" customHeight="1" thickTop="1" x14ac:dyDescent="0.25">
      <c r="A24" s="601"/>
      <c r="B24" s="1337"/>
      <c r="C24" s="226"/>
      <c r="D24" s="1314"/>
      <c r="E24" s="1374"/>
      <c r="F24" s="223" t="str">
        <f t="shared" si="0"/>
        <v xml:space="preserve">n/a </v>
      </c>
      <c r="G24" s="227"/>
      <c r="H24" s="1436"/>
      <c r="I24" s="224"/>
      <c r="J24" s="1292"/>
      <c r="K24" s="398">
        <f t="shared" si="15"/>
        <v>0</v>
      </c>
      <c r="L24" s="223">
        <f t="shared" si="1"/>
        <v>0.30499999999999999</v>
      </c>
      <c r="M24" s="398">
        <f t="shared" si="2"/>
        <v>0</v>
      </c>
      <c r="N24" s="513">
        <f t="shared" si="3"/>
        <v>0</v>
      </c>
      <c r="O24" s="25"/>
      <c r="P24" s="25"/>
      <c r="Q24" s="847">
        <v>12</v>
      </c>
      <c r="R24" s="1074" t="s">
        <v>60</v>
      </c>
      <c r="S24" s="1075">
        <f t="shared" si="4"/>
        <v>1</v>
      </c>
      <c r="T24" s="230"/>
      <c r="U24" s="879" t="s">
        <v>60</v>
      </c>
      <c r="V24" s="889" t="str">
        <f t="shared" si="5"/>
        <v xml:space="preserve"> </v>
      </c>
      <c r="W24" s="890" t="str">
        <f t="shared" si="16"/>
        <v xml:space="preserve"> </v>
      </c>
      <c r="X24" s="1297"/>
      <c r="Y24" s="1306" t="str">
        <f t="shared" si="17"/>
        <v xml:space="preserve"> </v>
      </c>
      <c r="Z24" s="846">
        <f t="shared" si="18"/>
        <v>0</v>
      </c>
      <c r="AA24" s="120" t="str">
        <f t="shared" si="6"/>
        <v xml:space="preserve"> </v>
      </c>
      <c r="AB24" s="151" t="str">
        <f t="shared" si="7"/>
        <v xml:space="preserve"> </v>
      </c>
      <c r="AC24" s="697"/>
      <c r="AD24" s="258"/>
      <c r="AE24" s="259"/>
      <c r="AF24" s="259"/>
      <c r="AG24" s="302">
        <f t="shared" si="8"/>
        <v>0</v>
      </c>
      <c r="AH24" s="303">
        <f t="shared" si="9"/>
        <v>0</v>
      </c>
      <c r="AI24" s="837"/>
      <c r="AJ24" s="264">
        <f t="shared" si="19"/>
        <v>1</v>
      </c>
      <c r="AL24" s="4">
        <f t="shared" si="10"/>
        <v>0</v>
      </c>
      <c r="AM24" s="4">
        <f t="shared" si="11"/>
        <v>0</v>
      </c>
      <c r="AO24" s="4">
        <f t="shared" si="12"/>
        <v>0</v>
      </c>
      <c r="AP24" s="4">
        <f t="shared" si="13"/>
        <v>0</v>
      </c>
      <c r="AR24" s="4">
        <f t="shared" si="14"/>
        <v>0</v>
      </c>
      <c r="AS24" s="4">
        <f t="shared" si="14"/>
        <v>0</v>
      </c>
      <c r="AT24" s="4">
        <f t="shared" si="20"/>
        <v>0</v>
      </c>
    </row>
    <row r="25" spans="1:46" ht="14.4" x14ac:dyDescent="0.25">
      <c r="A25" s="293"/>
      <c r="B25" s="293"/>
      <c r="C25" s="294"/>
      <c r="D25" s="294"/>
      <c r="E25" s="294"/>
      <c r="F25" s="294"/>
      <c r="G25" s="295"/>
      <c r="H25" s="295"/>
      <c r="I25" s="1204" t="s">
        <v>222</v>
      </c>
      <c r="J25" s="1289"/>
      <c r="K25" s="297">
        <v>0</v>
      </c>
      <c r="L25" s="297"/>
      <c r="M25" s="297">
        <v>0</v>
      </c>
      <c r="N25" s="117">
        <f>K25+M25</f>
        <v>0</v>
      </c>
      <c r="O25" s="25"/>
      <c r="P25" s="25"/>
      <c r="Q25" s="423"/>
      <c r="R25" s="1060"/>
      <c r="S25" s="1060"/>
      <c r="T25" s="230"/>
      <c r="U25" s="230"/>
      <c r="V25" s="230"/>
      <c r="W25" s="230"/>
      <c r="X25" s="866"/>
      <c r="Y25" s="866"/>
      <c r="Z25" s="230"/>
      <c r="AA25" s="230"/>
      <c r="AB25" s="230"/>
      <c r="AC25" s="326"/>
      <c r="AD25" s="260"/>
      <c r="AE25" s="261"/>
      <c r="AF25" s="259"/>
      <c r="AG25" s="262"/>
      <c r="AH25" s="263">
        <v>0</v>
      </c>
      <c r="AI25" s="263">
        <v>0</v>
      </c>
      <c r="AJ25" s="273"/>
      <c r="AL25" s="103" t="s">
        <v>138</v>
      </c>
      <c r="AM25" s="103" t="s">
        <v>138</v>
      </c>
      <c r="AO25" s="103" t="s">
        <v>138</v>
      </c>
      <c r="AP25" s="103" t="s">
        <v>138</v>
      </c>
      <c r="AR25" s="103">
        <v>0</v>
      </c>
      <c r="AS25" s="103">
        <v>0</v>
      </c>
      <c r="AT25" s="50">
        <f t="shared" si="20"/>
        <v>0</v>
      </c>
    </row>
    <row r="26" spans="1:46" ht="16.5" customHeight="1" thickBot="1" x14ac:dyDescent="0.3">
      <c r="A26" s="1221" t="s">
        <v>9</v>
      </c>
      <c r="B26" s="1335"/>
      <c r="C26" s="1163"/>
      <c r="D26" s="1163"/>
      <c r="E26" s="1163"/>
      <c r="F26" s="1163"/>
      <c r="G26" s="421"/>
      <c r="H26" s="421"/>
      <c r="I26" s="421"/>
      <c r="J26" s="421"/>
      <c r="K26" s="1164">
        <f>SUM(K17:K25)</f>
        <v>0</v>
      </c>
      <c r="L26" s="1165"/>
      <c r="M26" s="1166">
        <f>SUM(M17:M25)</f>
        <v>0</v>
      </c>
      <c r="N26" s="299">
        <f>SUM(N17:N25)</f>
        <v>0</v>
      </c>
      <c r="O26" s="175"/>
      <c r="P26" s="175"/>
      <c r="Q26" s="230"/>
      <c r="R26" s="642"/>
      <c r="S26" s="642"/>
      <c r="T26" s="230"/>
      <c r="U26" s="230"/>
      <c r="V26" s="230"/>
      <c r="W26" s="230"/>
      <c r="X26" s="866"/>
      <c r="Y26" s="866"/>
      <c r="Z26" s="230"/>
      <c r="AA26" s="230"/>
      <c r="AB26" s="230"/>
      <c r="AC26" s="326"/>
      <c r="AD26" s="271"/>
      <c r="AE26" s="272"/>
      <c r="AF26" s="272"/>
      <c r="AG26" s="262"/>
      <c r="AH26" s="262"/>
      <c r="AI26" s="272"/>
      <c r="AJ26" s="273"/>
      <c r="AL26" s="121">
        <f>SUM(AL17:AL25)</f>
        <v>0</v>
      </c>
      <c r="AM26" s="121">
        <f>SUM(AM17:AM25)</f>
        <v>0</v>
      </c>
      <c r="AO26" s="121">
        <f>SUM(AO17:AO25)</f>
        <v>0</v>
      </c>
      <c r="AP26" s="121">
        <f>SUM(AP17:AP25)</f>
        <v>0</v>
      </c>
      <c r="AR26" s="4">
        <f>SUM(AR17:AR25)</f>
        <v>0</v>
      </c>
      <c r="AS26" s="4">
        <f>SUM(AS17:AS25)</f>
        <v>0</v>
      </c>
      <c r="AT26" s="121">
        <f>SUM(AT17:AT25)</f>
        <v>0</v>
      </c>
    </row>
    <row r="27" spans="1:46" ht="16.5" customHeight="1" x14ac:dyDescent="0.25">
      <c r="A27" s="1187" t="s">
        <v>120</v>
      </c>
      <c r="B27" s="1187"/>
      <c r="C27" s="226"/>
      <c r="D27" s="226"/>
      <c r="E27" s="226"/>
      <c r="F27" s="226"/>
      <c r="G27" s="301"/>
      <c r="H27" s="301"/>
      <c r="I27" s="301"/>
      <c r="J27" s="301"/>
      <c r="K27" s="301"/>
      <c r="L27" s="301"/>
      <c r="M27" s="301"/>
      <c r="N27" s="338"/>
      <c r="O27" s="180"/>
      <c r="P27" s="180"/>
      <c r="Q27" s="230"/>
      <c r="R27" s="642"/>
      <c r="S27" s="642"/>
      <c r="T27" s="230"/>
      <c r="U27" s="230"/>
      <c r="V27" s="230"/>
      <c r="W27" s="230"/>
      <c r="X27" s="866"/>
      <c r="Y27" s="866"/>
      <c r="Z27" s="230"/>
      <c r="AA27" s="230"/>
      <c r="AB27" s="230"/>
      <c r="AC27" s="326"/>
      <c r="AD27" s="271"/>
      <c r="AE27" s="272"/>
      <c r="AF27" s="272"/>
      <c r="AG27" s="262"/>
      <c r="AH27" s="262"/>
      <c r="AI27" s="272"/>
      <c r="AJ27" s="273"/>
      <c r="AR27" s="126"/>
      <c r="AS27" s="121"/>
    </row>
    <row r="28" spans="1:46" ht="16.5" customHeight="1" x14ac:dyDescent="0.25">
      <c r="A28" s="1144"/>
      <c r="B28" s="1337"/>
      <c r="C28" s="342"/>
      <c r="D28" s="342"/>
      <c r="E28" s="342"/>
      <c r="F28" s="342"/>
      <c r="G28" s="1061"/>
      <c r="H28" s="227"/>
      <c r="I28" s="261"/>
      <c r="J28" s="261"/>
      <c r="K28" s="301"/>
      <c r="L28" s="301"/>
      <c r="M28" s="301"/>
      <c r="N28" s="227"/>
      <c r="O28" s="181"/>
      <c r="P28" s="181"/>
      <c r="Q28" s="230"/>
      <c r="R28" s="642"/>
      <c r="S28" s="642"/>
      <c r="T28" s="230"/>
      <c r="U28" s="230"/>
      <c r="V28" s="230"/>
      <c r="W28" s="230"/>
      <c r="X28" s="866"/>
      <c r="Y28" s="866"/>
      <c r="Z28" s="230"/>
      <c r="AA28" s="230"/>
      <c r="AB28" s="230"/>
      <c r="AC28" s="326"/>
      <c r="AD28" s="271"/>
      <c r="AE28" s="272"/>
      <c r="AF28" s="272"/>
      <c r="AG28" s="262"/>
      <c r="AH28" s="262"/>
      <c r="AI28" s="272"/>
      <c r="AJ28" s="273"/>
    </row>
    <row r="29" spans="1:46" ht="16.5" customHeight="1" x14ac:dyDescent="0.25">
      <c r="A29" s="601"/>
      <c r="B29" s="1337"/>
      <c r="C29" s="226"/>
      <c r="D29" s="226"/>
      <c r="E29" s="226"/>
      <c r="F29" s="226"/>
      <c r="G29" s="301"/>
      <c r="H29" s="227"/>
      <c r="I29" s="261"/>
      <c r="J29" s="261"/>
      <c r="K29" s="301"/>
      <c r="L29" s="301"/>
      <c r="M29" s="301"/>
      <c r="N29" s="227"/>
      <c r="O29" s="25"/>
      <c r="P29" s="25"/>
      <c r="Q29" s="230"/>
      <c r="R29" s="642"/>
      <c r="S29" s="642"/>
      <c r="T29" s="230"/>
      <c r="U29" s="230"/>
      <c r="V29" s="230"/>
      <c r="W29" s="230"/>
      <c r="X29" s="866"/>
      <c r="Y29" s="866"/>
      <c r="Z29" s="230"/>
      <c r="AA29" s="230"/>
      <c r="AB29" s="230"/>
      <c r="AC29" s="326"/>
      <c r="AD29" s="271"/>
      <c r="AE29" s="272"/>
      <c r="AF29" s="272"/>
      <c r="AG29" s="262"/>
      <c r="AH29" s="262"/>
      <c r="AI29" s="272"/>
      <c r="AJ29" s="273"/>
    </row>
    <row r="30" spans="1:46" ht="16.5" customHeight="1" x14ac:dyDescent="0.25">
      <c r="A30" s="601"/>
      <c r="B30" s="1337"/>
      <c r="C30" s="226"/>
      <c r="D30" s="226"/>
      <c r="E30" s="226"/>
      <c r="F30" s="226"/>
      <c r="G30" s="301"/>
      <c r="H30" s="227"/>
      <c r="I30" s="261"/>
      <c r="J30" s="261"/>
      <c r="K30" s="301"/>
      <c r="L30" s="301"/>
      <c r="M30" s="301"/>
      <c r="N30" s="339"/>
      <c r="O30" s="25"/>
      <c r="P30" s="25"/>
      <c r="Q30" s="230"/>
      <c r="R30" s="642"/>
      <c r="S30" s="642"/>
      <c r="T30" s="230"/>
      <c r="U30" s="230"/>
      <c r="V30" s="230"/>
      <c r="W30" s="230"/>
      <c r="X30" s="866"/>
      <c r="Y30" s="866"/>
      <c r="Z30" s="230"/>
      <c r="AA30" s="230"/>
      <c r="AB30" s="230"/>
      <c r="AC30" s="326"/>
      <c r="AD30" s="271"/>
      <c r="AE30" s="272"/>
      <c r="AF30" s="272"/>
      <c r="AG30" s="262"/>
      <c r="AH30" s="262"/>
      <c r="AI30" s="272"/>
      <c r="AJ30" s="273"/>
    </row>
    <row r="31" spans="1:46" ht="16.5" customHeight="1" thickBot="1" x14ac:dyDescent="0.35">
      <c r="A31" s="1216" t="s">
        <v>121</v>
      </c>
      <c r="B31" s="1216"/>
      <c r="C31" s="1161"/>
      <c r="D31" s="1161"/>
      <c r="E31" s="1161"/>
      <c r="F31" s="1161"/>
      <c r="G31" s="1161"/>
      <c r="H31" s="1161"/>
      <c r="I31" s="1161"/>
      <c r="J31" s="1161"/>
      <c r="K31" s="1161"/>
      <c r="L31" s="1161"/>
      <c r="M31" s="1167"/>
      <c r="N31" s="299">
        <f>SUM(H28:H30)+SUM(N28:N30)</f>
        <v>0</v>
      </c>
      <c r="O31" s="175"/>
      <c r="P31" s="175"/>
      <c r="Q31" s="425" t="s">
        <v>45</v>
      </c>
      <c r="R31" s="1067"/>
      <c r="S31" s="642"/>
      <c r="T31" s="230"/>
      <c r="U31" s="230"/>
      <c r="V31" s="230"/>
      <c r="W31" s="230"/>
      <c r="X31" s="866"/>
      <c r="Y31" s="866"/>
      <c r="Z31" s="230"/>
      <c r="AA31" s="230"/>
      <c r="AB31" s="230"/>
      <c r="AC31" s="326"/>
      <c r="AD31" s="274" t="s">
        <v>168</v>
      </c>
      <c r="AE31" s="272" t="s">
        <v>203</v>
      </c>
      <c r="AF31" s="272" t="s">
        <v>204</v>
      </c>
      <c r="AG31" s="262"/>
      <c r="AH31" s="275" t="s">
        <v>168</v>
      </c>
      <c r="AI31" s="272" t="s">
        <v>203</v>
      </c>
      <c r="AJ31" s="273" t="s">
        <v>204</v>
      </c>
      <c r="AL31" s="64" t="s">
        <v>168</v>
      </c>
    </row>
    <row r="32" spans="1:46" ht="16.5" customHeight="1" x14ac:dyDescent="0.25">
      <c r="A32" s="1187" t="s">
        <v>13</v>
      </c>
      <c r="B32" s="1187"/>
      <c r="C32" s="226"/>
      <c r="D32" s="226"/>
      <c r="E32" s="226"/>
      <c r="F32" s="226"/>
      <c r="G32" s="301"/>
      <c r="H32" s="301"/>
      <c r="I32" s="261"/>
      <c r="J32" s="261"/>
      <c r="K32" s="301"/>
      <c r="L32" s="301"/>
      <c r="M32" s="301"/>
      <c r="N32" s="338"/>
      <c r="O32" s="180"/>
      <c r="P32" s="180"/>
      <c r="Q32" s="230"/>
      <c r="R32" s="642"/>
      <c r="S32" s="642"/>
      <c r="T32" s="230"/>
      <c r="U32" s="230"/>
      <c r="V32" s="230"/>
      <c r="W32" s="230"/>
      <c r="X32" s="866"/>
      <c r="Y32" s="866"/>
      <c r="Z32" s="230"/>
      <c r="AA32" s="230"/>
      <c r="AB32" s="230"/>
      <c r="AC32" s="326"/>
      <c r="AD32" s="274" t="s">
        <v>167</v>
      </c>
      <c r="AE32" s="278" t="s">
        <v>136</v>
      </c>
      <c r="AF32" s="278" t="s">
        <v>137</v>
      </c>
      <c r="AG32" s="262"/>
      <c r="AH32" s="275" t="s">
        <v>167</v>
      </c>
      <c r="AI32" s="278" t="s">
        <v>136</v>
      </c>
      <c r="AJ32" s="279" t="s">
        <v>137</v>
      </c>
      <c r="AL32" s="64"/>
    </row>
    <row r="33" spans="1:46" ht="16.5" customHeight="1" x14ac:dyDescent="0.25">
      <c r="A33" s="1144"/>
      <c r="B33" s="1337"/>
      <c r="C33" s="1060"/>
      <c r="D33" s="1287"/>
      <c r="E33" s="1337"/>
      <c r="F33" s="1337"/>
      <c r="G33" s="1061"/>
      <c r="H33" s="227"/>
      <c r="I33" s="261"/>
      <c r="J33" s="261"/>
      <c r="K33" s="301"/>
      <c r="L33" s="301"/>
      <c r="M33" s="301"/>
      <c r="N33" s="227"/>
      <c r="O33" s="181"/>
      <c r="P33" s="181"/>
      <c r="Q33" s="230"/>
      <c r="R33" s="642"/>
      <c r="S33" s="642"/>
      <c r="T33" s="230"/>
      <c r="U33" s="230"/>
      <c r="V33" s="230"/>
      <c r="W33" s="230"/>
      <c r="X33" s="866"/>
      <c r="Y33" s="866"/>
      <c r="Z33" s="230"/>
      <c r="AA33" s="230"/>
      <c r="AB33" s="230"/>
      <c r="AD33" s="1463" t="s">
        <v>159</v>
      </c>
      <c r="AE33" s="1464"/>
      <c r="AF33" s="1464"/>
      <c r="AG33" s="262"/>
      <c r="AH33" s="1465" t="s">
        <v>160</v>
      </c>
      <c r="AI33" s="1465"/>
      <c r="AJ33" s="1466"/>
      <c r="AL33" s="1472" t="s">
        <v>159</v>
      </c>
      <c r="AM33" s="1472"/>
      <c r="AO33" s="1473" t="s">
        <v>160</v>
      </c>
      <c r="AP33" s="1473"/>
      <c r="AR33" s="1475" t="s">
        <v>161</v>
      </c>
      <c r="AS33" s="1475"/>
      <c r="AT33" s="1475"/>
    </row>
    <row r="34" spans="1:46" ht="16.5" customHeight="1" x14ac:dyDescent="0.25">
      <c r="A34" s="601"/>
      <c r="B34" s="1337"/>
      <c r="C34" s="226"/>
      <c r="D34" s="226"/>
      <c r="E34" s="226"/>
      <c r="F34" s="226"/>
      <c r="G34" s="301"/>
      <c r="H34" s="227"/>
      <c r="I34" s="261"/>
      <c r="J34" s="261"/>
      <c r="K34" s="301"/>
      <c r="L34" s="301"/>
      <c r="M34" s="301"/>
      <c r="N34" s="227"/>
      <c r="O34" s="25"/>
      <c r="P34" s="25"/>
      <c r="Q34" s="230"/>
      <c r="R34" s="642"/>
      <c r="S34" s="642"/>
      <c r="T34" s="230"/>
      <c r="U34" s="230"/>
      <c r="V34" s="230"/>
      <c r="W34" s="230"/>
      <c r="X34" s="866"/>
      <c r="Y34" s="866"/>
      <c r="Z34" s="230"/>
      <c r="AA34" s="230"/>
      <c r="AB34" s="230"/>
      <c r="AD34" s="643">
        <f>H34</f>
        <v>0</v>
      </c>
      <c r="AE34" s="837"/>
      <c r="AF34" s="495">
        <f>1-AE34</f>
        <v>1</v>
      </c>
      <c r="AG34" s="493"/>
      <c r="AH34" s="644">
        <f>N34</f>
        <v>0</v>
      </c>
      <c r="AI34" s="837"/>
      <c r="AJ34" s="264">
        <f>1-AI34</f>
        <v>1</v>
      </c>
      <c r="AL34" s="4">
        <f>H34*AE34</f>
        <v>0</v>
      </c>
      <c r="AM34" s="4">
        <f>H34*AF34</f>
        <v>0</v>
      </c>
      <c r="AO34" s="4">
        <f>N34*AI34</f>
        <v>0</v>
      </c>
      <c r="AP34" s="4">
        <f>N34*AJ34</f>
        <v>0</v>
      </c>
      <c r="AR34" s="4">
        <f>AL34+AO34</f>
        <v>0</v>
      </c>
      <c r="AS34" s="4">
        <f>AM34+AP34</f>
        <v>0</v>
      </c>
      <c r="AT34" s="4">
        <f>SUM(AR34:AS34)</f>
        <v>0</v>
      </c>
    </row>
    <row r="35" spans="1:46" ht="16.5" customHeight="1" x14ac:dyDescent="0.25">
      <c r="A35" s="601"/>
      <c r="B35" s="1337"/>
      <c r="C35" s="226"/>
      <c r="D35" s="226"/>
      <c r="E35" s="226"/>
      <c r="F35" s="226"/>
      <c r="G35" s="301"/>
      <c r="H35" s="227"/>
      <c r="I35" s="261"/>
      <c r="J35" s="261"/>
      <c r="K35" s="301"/>
      <c r="L35" s="1206"/>
      <c r="M35" s="1204" t="s">
        <v>223</v>
      </c>
      <c r="N35" s="382">
        <v>0</v>
      </c>
      <c r="O35" s="25"/>
      <c r="P35" s="25"/>
      <c r="Q35" s="230"/>
      <c r="R35" s="642"/>
      <c r="S35" s="642"/>
      <c r="T35" s="230"/>
      <c r="U35" s="230"/>
      <c r="V35" s="230"/>
      <c r="W35" s="230"/>
      <c r="X35" s="866"/>
      <c r="Y35" s="866"/>
      <c r="Z35" s="230"/>
      <c r="AA35" s="230"/>
      <c r="AB35" s="230"/>
      <c r="AD35" s="643">
        <f>H35</f>
        <v>0</v>
      </c>
      <c r="AE35" s="837"/>
      <c r="AF35" s="495">
        <f>1-AE35</f>
        <v>1</v>
      </c>
      <c r="AG35" s="493"/>
      <c r="AH35" s="263">
        <v>0</v>
      </c>
      <c r="AI35" s="263">
        <v>0</v>
      </c>
      <c r="AJ35" s="273"/>
      <c r="AL35" s="50">
        <f>H35*AE35</f>
        <v>0</v>
      </c>
      <c r="AM35" s="50">
        <f>H35*AF35</f>
        <v>0</v>
      </c>
      <c r="AN35" s="9"/>
      <c r="AO35" s="103">
        <v>0</v>
      </c>
      <c r="AP35" s="103">
        <v>0</v>
      </c>
      <c r="AR35" s="50">
        <f>AL35+AO35</f>
        <v>0</v>
      </c>
      <c r="AS35" s="50">
        <f>AM35+AP35</f>
        <v>0</v>
      </c>
      <c r="AT35" s="50">
        <f t="shared" ref="AT35:AT36" si="21">SUM(AR35:AS35)</f>
        <v>0</v>
      </c>
    </row>
    <row r="36" spans="1:46" ht="16.5" customHeight="1" thickBot="1" x14ac:dyDescent="0.3">
      <c r="A36" s="1216" t="s">
        <v>14</v>
      </c>
      <c r="B36" s="1216"/>
      <c r="C36" s="1161"/>
      <c r="D36" s="1161"/>
      <c r="E36" s="1161"/>
      <c r="F36" s="1161"/>
      <c r="G36" s="1161"/>
      <c r="H36" s="1161"/>
      <c r="I36" s="1161"/>
      <c r="J36" s="1161"/>
      <c r="K36" s="1161"/>
      <c r="L36" s="1161"/>
      <c r="M36" s="1167"/>
      <c r="N36" s="383">
        <f>SUM(H33:H35)+SUM(N33:N35)</f>
        <v>0</v>
      </c>
      <c r="O36" s="174"/>
      <c r="P36" s="174"/>
      <c r="Q36" s="230"/>
      <c r="R36" s="642"/>
      <c r="S36" s="642"/>
      <c r="T36" s="230"/>
      <c r="U36" s="230"/>
      <c r="V36" s="230"/>
      <c r="W36" s="230"/>
      <c r="X36" s="866"/>
      <c r="Y36" s="866"/>
      <c r="Z36" s="230"/>
      <c r="AA36" s="230"/>
      <c r="AB36" s="230"/>
      <c r="AD36" s="492"/>
      <c r="AE36" s="272"/>
      <c r="AF36" s="272"/>
      <c r="AG36" s="493"/>
      <c r="AH36" s="493"/>
      <c r="AI36" s="272"/>
      <c r="AJ36" s="273"/>
      <c r="AL36" s="4">
        <f>SUM(AL34:AL35)</f>
        <v>0</v>
      </c>
      <c r="AM36" s="4">
        <f t="shared" ref="AM36:AP36" si="22">SUM(AM34:AM35)</f>
        <v>0</v>
      </c>
      <c r="AN36" s="4"/>
      <c r="AO36" s="4">
        <f t="shared" si="22"/>
        <v>0</v>
      </c>
      <c r="AP36" s="4">
        <f t="shared" si="22"/>
        <v>0</v>
      </c>
      <c r="AR36" s="4">
        <f>SUM(AR34:AR35)</f>
        <v>0</v>
      </c>
      <c r="AS36" s="4">
        <f>SUM(AS34:AS35)</f>
        <v>0</v>
      </c>
      <c r="AT36" s="121">
        <f t="shared" si="21"/>
        <v>0</v>
      </c>
    </row>
    <row r="37" spans="1:46" ht="16.5" customHeight="1" x14ac:dyDescent="0.25">
      <c r="A37" s="1194" t="s">
        <v>10</v>
      </c>
      <c r="B37" s="1194"/>
      <c r="C37" s="226"/>
      <c r="D37" s="226"/>
      <c r="E37" s="226"/>
      <c r="F37" s="226"/>
      <c r="G37" s="301"/>
      <c r="H37" s="301"/>
      <c r="I37" s="261"/>
      <c r="J37" s="261"/>
      <c r="K37" s="301"/>
      <c r="L37" s="301"/>
      <c r="M37" s="301"/>
      <c r="N37" s="338"/>
      <c r="O37" s="180"/>
      <c r="P37" s="180"/>
      <c r="Q37" s="230"/>
      <c r="R37" s="642"/>
      <c r="S37" s="642"/>
      <c r="T37" s="230"/>
      <c r="U37" s="230"/>
      <c r="V37" s="230"/>
      <c r="W37" s="230"/>
      <c r="X37" s="866"/>
      <c r="Y37" s="866"/>
      <c r="Z37" s="230"/>
      <c r="AA37" s="230"/>
      <c r="AB37" s="230"/>
      <c r="AD37" s="494" t="s">
        <v>169</v>
      </c>
      <c r="AE37" s="272" t="s">
        <v>203</v>
      </c>
      <c r="AF37" s="272" t="s">
        <v>204</v>
      </c>
      <c r="AG37" s="493"/>
      <c r="AH37" s="236" t="s">
        <v>169</v>
      </c>
      <c r="AI37" s="272" t="s">
        <v>203</v>
      </c>
      <c r="AJ37" s="273" t="s">
        <v>204</v>
      </c>
      <c r="AL37" s="10" t="s">
        <v>169</v>
      </c>
      <c r="AR37" s="126"/>
      <c r="AS37" s="121"/>
    </row>
    <row r="38" spans="1:46" ht="16.5" customHeight="1" x14ac:dyDescent="0.25">
      <c r="A38" s="642"/>
      <c r="B38" s="642"/>
      <c r="C38" s="341"/>
      <c r="D38" s="341"/>
      <c r="E38" s="341"/>
      <c r="F38" s="341"/>
      <c r="G38" s="1061"/>
      <c r="H38" s="227"/>
      <c r="I38" s="261"/>
      <c r="J38" s="261"/>
      <c r="K38" s="301"/>
      <c r="L38" s="301"/>
      <c r="M38" s="301"/>
      <c r="N38" s="227"/>
      <c r="O38" s="181"/>
      <c r="P38" s="181"/>
      <c r="Q38" s="230"/>
      <c r="R38" s="642"/>
      <c r="S38" s="642"/>
      <c r="T38" s="230"/>
      <c r="U38" s="230"/>
      <c r="V38" s="230"/>
      <c r="W38" s="230"/>
      <c r="X38" s="866"/>
      <c r="Y38" s="866"/>
      <c r="Z38" s="230"/>
      <c r="AA38" s="230"/>
      <c r="AB38" s="230"/>
      <c r="AD38" s="494" t="s">
        <v>167</v>
      </c>
      <c r="AE38" s="278" t="s">
        <v>136</v>
      </c>
      <c r="AF38" s="278" t="s">
        <v>137</v>
      </c>
      <c r="AG38" s="493"/>
      <c r="AH38" s="236" t="s">
        <v>167</v>
      </c>
      <c r="AI38" s="278" t="s">
        <v>136</v>
      </c>
      <c r="AJ38" s="279" t="s">
        <v>137</v>
      </c>
      <c r="AL38" s="10"/>
    </row>
    <row r="39" spans="1:46" ht="16.5" customHeight="1" x14ac:dyDescent="0.25">
      <c r="A39" s="1269"/>
      <c r="B39" s="1337"/>
      <c r="C39" s="226"/>
      <c r="D39" s="226"/>
      <c r="E39" s="226"/>
      <c r="F39" s="226"/>
      <c r="G39" s="301"/>
      <c r="H39" s="227"/>
      <c r="I39" s="261"/>
      <c r="J39" s="261"/>
      <c r="K39" s="301"/>
      <c r="L39" s="301"/>
      <c r="M39" s="301"/>
      <c r="N39" s="227"/>
      <c r="O39" s="25"/>
      <c r="P39" s="25"/>
      <c r="Q39" s="230"/>
      <c r="R39" s="642"/>
      <c r="S39" s="642"/>
      <c r="T39" s="230"/>
      <c r="U39" s="230"/>
      <c r="V39" s="230"/>
      <c r="W39" s="230"/>
      <c r="X39" s="866"/>
      <c r="Y39" s="866"/>
      <c r="Z39" s="230"/>
      <c r="AA39" s="230"/>
      <c r="AB39" s="230"/>
      <c r="AD39" s="643">
        <f>H39</f>
        <v>0</v>
      </c>
      <c r="AE39" s="837"/>
      <c r="AF39" s="495">
        <f>1-AE39</f>
        <v>1</v>
      </c>
      <c r="AG39" s="493"/>
      <c r="AH39" s="644">
        <f>N39</f>
        <v>0</v>
      </c>
      <c r="AI39" s="837"/>
      <c r="AJ39" s="264">
        <f>1-AI39</f>
        <v>1</v>
      </c>
      <c r="AL39" s="4">
        <f>H39*AE39</f>
        <v>0</v>
      </c>
      <c r="AM39" s="4">
        <f>H39*AF39</f>
        <v>0</v>
      </c>
      <c r="AO39" s="4">
        <f>N39*AI39</f>
        <v>0</v>
      </c>
      <c r="AP39" s="4">
        <f>N39*AJ39</f>
        <v>0</v>
      </c>
      <c r="AR39" s="4">
        <f>AL39+AO39</f>
        <v>0</v>
      </c>
      <c r="AS39" s="4">
        <f>AM39+AP39</f>
        <v>0</v>
      </c>
      <c r="AT39" s="4">
        <f>SUM(AR39:AS39)</f>
        <v>0</v>
      </c>
    </row>
    <row r="40" spans="1:46" ht="16.5" customHeight="1" x14ac:dyDescent="0.25">
      <c r="A40" s="1269"/>
      <c r="B40" s="1337"/>
      <c r="C40" s="226"/>
      <c r="D40" s="226"/>
      <c r="E40" s="226"/>
      <c r="F40" s="226"/>
      <c r="G40" s="301"/>
      <c r="H40" s="227"/>
      <c r="I40" s="261"/>
      <c r="J40" s="261"/>
      <c r="K40" s="301"/>
      <c r="L40" s="301"/>
      <c r="M40" s="301"/>
      <c r="N40" s="227"/>
      <c r="O40" s="25"/>
      <c r="P40" s="25"/>
      <c r="Q40" s="230"/>
      <c r="R40" s="642"/>
      <c r="S40" s="642"/>
      <c r="T40" s="230"/>
      <c r="U40" s="230"/>
      <c r="V40" s="230"/>
      <c r="W40" s="230"/>
      <c r="X40" s="866"/>
      <c r="Y40" s="866"/>
      <c r="Z40" s="230"/>
      <c r="AA40" s="230"/>
      <c r="AB40" s="230"/>
      <c r="AD40" s="643">
        <f>H40</f>
        <v>0</v>
      </c>
      <c r="AE40" s="837"/>
      <c r="AF40" s="495">
        <f t="shared" ref="AF40:AF41" si="23">1-AE40</f>
        <v>1</v>
      </c>
      <c r="AG40" s="493"/>
      <c r="AH40" s="644">
        <f>N40</f>
        <v>0</v>
      </c>
      <c r="AI40" s="837"/>
      <c r="AJ40" s="264">
        <f>1-AI40</f>
        <v>1</v>
      </c>
      <c r="AL40" s="48">
        <f>H40*AE40</f>
        <v>0</v>
      </c>
      <c r="AM40" s="48">
        <f>H40*AF40</f>
        <v>0</v>
      </c>
      <c r="AN40" s="9"/>
      <c r="AO40" s="4">
        <f>N40*AI40</f>
        <v>0</v>
      </c>
      <c r="AP40" s="4">
        <f>N40*AJ40</f>
        <v>0</v>
      </c>
      <c r="AQ40" s="9"/>
      <c r="AR40" s="4">
        <f t="shared" ref="AR40:AS41" si="24">AL40+AO40</f>
        <v>0</v>
      </c>
      <c r="AS40" s="4">
        <f t="shared" si="24"/>
        <v>0</v>
      </c>
      <c r="AT40" s="4">
        <f t="shared" ref="AT40:AT42" si="25">SUM(AR40:AS40)</f>
        <v>0</v>
      </c>
    </row>
    <row r="41" spans="1:46" ht="16.5" customHeight="1" x14ac:dyDescent="0.25">
      <c r="A41" s="1269"/>
      <c r="B41" s="1337"/>
      <c r="C41" s="226"/>
      <c r="D41" s="226"/>
      <c r="E41" s="226"/>
      <c r="F41" s="226"/>
      <c r="G41" s="301"/>
      <c r="H41" s="227"/>
      <c r="I41" s="261"/>
      <c r="J41" s="261"/>
      <c r="K41" s="301"/>
      <c r="L41" s="1205"/>
      <c r="M41" s="1204" t="s">
        <v>260</v>
      </c>
      <c r="N41" s="382">
        <v>0</v>
      </c>
      <c r="O41" s="25"/>
      <c r="P41" s="25"/>
      <c r="Q41" s="230"/>
      <c r="R41" s="642"/>
      <c r="S41" s="642"/>
      <c r="T41" s="230"/>
      <c r="U41" s="230"/>
      <c r="V41" s="230"/>
      <c r="W41" s="230"/>
      <c r="X41" s="866"/>
      <c r="Y41" s="866"/>
      <c r="Z41" s="230"/>
      <c r="AA41" s="230"/>
      <c r="AB41" s="230"/>
      <c r="AD41" s="643">
        <f>H41</f>
        <v>0</v>
      </c>
      <c r="AE41" s="837"/>
      <c r="AF41" s="495">
        <f t="shared" si="23"/>
        <v>1</v>
      </c>
      <c r="AG41" s="493"/>
      <c r="AH41" s="263">
        <v>0</v>
      </c>
      <c r="AI41" s="263">
        <v>0</v>
      </c>
      <c r="AJ41" s="273"/>
      <c r="AL41" s="50">
        <f>H41*AE41</f>
        <v>0</v>
      </c>
      <c r="AM41" s="50">
        <f>H41*AF41</f>
        <v>0</v>
      </c>
      <c r="AO41" s="103">
        <v>0</v>
      </c>
      <c r="AP41" s="103">
        <v>0</v>
      </c>
      <c r="AQ41" s="9"/>
      <c r="AR41" s="50">
        <f t="shared" si="24"/>
        <v>0</v>
      </c>
      <c r="AS41" s="50">
        <f t="shared" si="24"/>
        <v>0</v>
      </c>
      <c r="AT41" s="50">
        <f t="shared" si="25"/>
        <v>0</v>
      </c>
    </row>
    <row r="42" spans="1:46" ht="16.5" customHeight="1" thickBot="1" x14ac:dyDescent="0.3">
      <c r="A42" s="1216" t="s">
        <v>12</v>
      </c>
      <c r="B42" s="1216"/>
      <c r="C42" s="1161"/>
      <c r="D42" s="1161"/>
      <c r="E42" s="1161"/>
      <c r="F42" s="1161"/>
      <c r="G42" s="1161"/>
      <c r="H42" s="1161"/>
      <c r="I42" s="1161"/>
      <c r="J42" s="1161"/>
      <c r="K42" s="1161"/>
      <c r="L42" s="1161"/>
      <c r="M42" s="1167"/>
      <c r="N42" s="384">
        <f>SUM(H38:H41)+SUM(N38:N41)</f>
        <v>0</v>
      </c>
      <c r="O42" s="174"/>
      <c r="P42" s="174"/>
      <c r="Q42" s="230"/>
      <c r="R42" s="642"/>
      <c r="S42" s="642"/>
      <c r="T42" s="230"/>
      <c r="U42" s="230"/>
      <c r="V42" s="230"/>
      <c r="W42" s="230"/>
      <c r="X42" s="866"/>
      <c r="Y42" s="866"/>
      <c r="Z42" s="230"/>
      <c r="AA42" s="230"/>
      <c r="AB42" s="230"/>
      <c r="AD42" s="492"/>
      <c r="AE42" s="272"/>
      <c r="AF42" s="272"/>
      <c r="AG42" s="493"/>
      <c r="AH42" s="493"/>
      <c r="AI42" s="272"/>
      <c r="AJ42" s="273"/>
      <c r="AL42" s="4">
        <f t="shared" ref="AL42:AP42" si="26">SUM(AL39:AL41)</f>
        <v>0</v>
      </c>
      <c r="AM42" s="4">
        <f t="shared" si="26"/>
        <v>0</v>
      </c>
      <c r="AN42" s="4"/>
      <c r="AO42" s="4">
        <f t="shared" si="26"/>
        <v>0</v>
      </c>
      <c r="AP42" s="4">
        <f t="shared" si="26"/>
        <v>0</v>
      </c>
      <c r="AQ42" s="4"/>
      <c r="AR42" s="4">
        <f>SUM(AR39:AR41)</f>
        <v>0</v>
      </c>
      <c r="AS42" s="4">
        <f>SUM(AS39:AS41)</f>
        <v>0</v>
      </c>
      <c r="AT42" s="121">
        <f t="shared" si="25"/>
        <v>0</v>
      </c>
    </row>
    <row r="43" spans="1:46" ht="16.5" customHeight="1" x14ac:dyDescent="0.25">
      <c r="A43" s="1187" t="s">
        <v>15</v>
      </c>
      <c r="B43" s="1187"/>
      <c r="C43" s="226"/>
      <c r="D43" s="226"/>
      <c r="E43" s="226"/>
      <c r="F43" s="226"/>
      <c r="G43" s="301"/>
      <c r="H43" s="301"/>
      <c r="I43" s="261"/>
      <c r="J43" s="261"/>
      <c r="K43" s="346"/>
      <c r="L43" s="301"/>
      <c r="M43" s="301"/>
      <c r="N43" s="338"/>
      <c r="O43" s="180"/>
      <c r="P43" s="180"/>
      <c r="Q43" s="230"/>
      <c r="R43" s="642"/>
      <c r="S43" s="642"/>
      <c r="T43" s="230"/>
      <c r="U43" s="230"/>
      <c r="V43" s="230"/>
      <c r="W43" s="230"/>
      <c r="X43" s="866"/>
      <c r="Y43" s="866"/>
      <c r="Z43" s="230"/>
      <c r="AA43" s="230"/>
      <c r="AB43" s="230"/>
      <c r="AD43" s="494" t="s">
        <v>34</v>
      </c>
      <c r="AE43" s="272" t="s">
        <v>203</v>
      </c>
      <c r="AF43" s="272" t="s">
        <v>204</v>
      </c>
      <c r="AG43" s="493"/>
      <c r="AH43" s="236" t="s">
        <v>34</v>
      </c>
      <c r="AI43" s="272" t="s">
        <v>203</v>
      </c>
      <c r="AJ43" s="273" t="s">
        <v>204</v>
      </c>
      <c r="AL43" s="10" t="s">
        <v>34</v>
      </c>
      <c r="AR43" s="126"/>
      <c r="AS43" s="121"/>
    </row>
    <row r="44" spans="1:46" ht="16.5" customHeight="1" x14ac:dyDescent="0.25">
      <c r="A44" s="1144"/>
      <c r="B44" s="1337"/>
      <c r="C44" s="1062"/>
      <c r="D44" s="1062"/>
      <c r="E44" s="1062"/>
      <c r="F44" s="1062"/>
      <c r="G44" s="1064"/>
      <c r="H44" s="227"/>
      <c r="I44" s="261"/>
      <c r="J44" s="261"/>
      <c r="K44" s="301"/>
      <c r="L44" s="301"/>
      <c r="M44" s="301"/>
      <c r="N44" s="227"/>
      <c r="O44" s="181"/>
      <c r="P44" s="181"/>
      <c r="Q44" s="230"/>
      <c r="R44" s="642"/>
      <c r="S44" s="642"/>
      <c r="T44" s="230"/>
      <c r="U44" s="230"/>
      <c r="V44" s="230"/>
      <c r="W44" s="230"/>
      <c r="X44" s="866"/>
      <c r="Y44" s="866"/>
      <c r="Z44" s="230"/>
      <c r="AA44" s="230"/>
      <c r="AB44" s="230"/>
      <c r="AD44" s="494" t="s">
        <v>167</v>
      </c>
      <c r="AE44" s="278" t="s">
        <v>136</v>
      </c>
      <c r="AF44" s="278" t="s">
        <v>137</v>
      </c>
      <c r="AG44" s="493"/>
      <c r="AH44" s="236" t="s">
        <v>167</v>
      </c>
      <c r="AI44" s="278" t="s">
        <v>136</v>
      </c>
      <c r="AJ44" s="279" t="s">
        <v>137</v>
      </c>
    </row>
    <row r="45" spans="1:46" ht="16.5" customHeight="1" x14ac:dyDescent="0.25">
      <c r="A45" s="601"/>
      <c r="B45" s="1337"/>
      <c r="C45" s="226"/>
      <c r="D45" s="226"/>
      <c r="E45" s="226"/>
      <c r="F45" s="226"/>
      <c r="G45" s="301"/>
      <c r="H45" s="227"/>
      <c r="I45" s="261"/>
      <c r="J45" s="261"/>
      <c r="K45" s="301"/>
      <c r="L45" s="1205"/>
      <c r="M45" s="1204" t="s">
        <v>261</v>
      </c>
      <c r="N45" s="382">
        <v>0</v>
      </c>
      <c r="O45" s="25"/>
      <c r="P45" s="25"/>
      <c r="Q45" s="230"/>
      <c r="R45" s="642"/>
      <c r="S45" s="642"/>
      <c r="T45" s="230"/>
      <c r="U45" s="230"/>
      <c r="V45" s="230"/>
      <c r="W45" s="230"/>
      <c r="X45" s="866"/>
      <c r="Y45" s="866"/>
      <c r="Z45" s="230"/>
      <c r="AA45" s="230"/>
      <c r="AB45" s="230"/>
      <c r="AD45" s="643">
        <f>H45</f>
        <v>0</v>
      </c>
      <c r="AE45" s="837"/>
      <c r="AF45" s="495">
        <f>1-AE45</f>
        <v>1</v>
      </c>
      <c r="AG45" s="493"/>
      <c r="AH45" s="263">
        <v>0</v>
      </c>
      <c r="AI45" s="263">
        <v>0</v>
      </c>
      <c r="AJ45" s="273"/>
      <c r="AL45" s="50">
        <f>H45*AE45</f>
        <v>0</v>
      </c>
      <c r="AM45" s="50">
        <f>H45*AF45</f>
        <v>0</v>
      </c>
      <c r="AO45" s="103">
        <v>0</v>
      </c>
      <c r="AP45" s="103">
        <v>0</v>
      </c>
      <c r="AR45" s="50">
        <f>AL45+AO45</f>
        <v>0</v>
      </c>
      <c r="AS45" s="50">
        <f>AM45+AP45</f>
        <v>0</v>
      </c>
      <c r="AT45" s="50">
        <f>SUM(AR45:AS45)</f>
        <v>0</v>
      </c>
    </row>
    <row r="46" spans="1:46" ht="16.5" customHeight="1" thickBot="1" x14ac:dyDescent="0.3">
      <c r="A46" s="1202" t="s">
        <v>16</v>
      </c>
      <c r="B46" s="1335"/>
      <c r="C46" s="1142"/>
      <c r="D46" s="1142"/>
      <c r="E46" s="1142"/>
      <c r="F46" s="1142"/>
      <c r="G46" s="421"/>
      <c r="H46" s="421"/>
      <c r="I46" s="1160"/>
      <c r="J46" s="1160"/>
      <c r="K46" s="421"/>
      <c r="L46" s="421"/>
      <c r="M46" s="1168"/>
      <c r="N46" s="383">
        <f>SUM(H44:H45)+ SUM(N44:N45)</f>
        <v>0</v>
      </c>
      <c r="O46" s="174"/>
      <c r="P46" s="174"/>
      <c r="Q46" s="230"/>
      <c r="R46" s="642"/>
      <c r="S46" s="642"/>
      <c r="T46" s="230"/>
      <c r="U46" s="230"/>
      <c r="V46" s="230"/>
      <c r="W46" s="230"/>
      <c r="X46" s="866"/>
      <c r="Y46" s="866"/>
      <c r="Z46" s="230"/>
      <c r="AA46" s="230"/>
      <c r="AB46" s="230"/>
      <c r="AD46" s="492"/>
      <c r="AE46" s="272"/>
      <c r="AF46" s="272"/>
      <c r="AG46" s="493"/>
      <c r="AH46" s="493"/>
      <c r="AI46" s="272"/>
      <c r="AJ46" s="273"/>
      <c r="AL46" s="4">
        <f>SUM(AL45:AL45)</f>
        <v>0</v>
      </c>
      <c r="AM46" s="4">
        <f>SUM(AM45:AM45)</f>
        <v>0</v>
      </c>
      <c r="AO46" s="4" t="e">
        <f>#REF!+AO45</f>
        <v>#REF!</v>
      </c>
      <c r="AP46" s="4" t="e">
        <f>#REF!+AP45</f>
        <v>#REF!</v>
      </c>
      <c r="AR46" s="4">
        <f>SUM(AR45:AR45)</f>
        <v>0</v>
      </c>
      <c r="AS46" s="4">
        <f>SUM(AS45:AS45)</f>
        <v>0</v>
      </c>
      <c r="AT46" s="121">
        <f>SUM(AR46:AS46)</f>
        <v>0</v>
      </c>
    </row>
    <row r="47" spans="1:46" ht="16.5" customHeight="1" x14ac:dyDescent="0.25">
      <c r="A47" s="1194" t="s">
        <v>29</v>
      </c>
      <c r="B47" s="1194"/>
      <c r="C47" s="226"/>
      <c r="D47" s="226"/>
      <c r="E47" s="226"/>
      <c r="F47" s="226"/>
      <c r="G47" s="301"/>
      <c r="H47" s="301"/>
      <c r="I47" s="261"/>
      <c r="J47" s="261"/>
      <c r="K47" s="301"/>
      <c r="L47" s="301"/>
      <c r="M47" s="301"/>
      <c r="N47" s="338"/>
      <c r="O47" s="180"/>
      <c r="P47" s="180"/>
      <c r="Q47" s="230"/>
      <c r="R47" s="642"/>
      <c r="S47" s="642"/>
      <c r="T47" s="230"/>
      <c r="U47" s="230"/>
      <c r="V47" s="230"/>
      <c r="W47" s="230"/>
      <c r="X47" s="866"/>
      <c r="Y47" s="866"/>
      <c r="Z47" s="230"/>
      <c r="AA47" s="230"/>
      <c r="AB47" s="230"/>
      <c r="AD47" s="492"/>
      <c r="AE47" s="272"/>
      <c r="AF47" s="272"/>
      <c r="AG47" s="493"/>
      <c r="AH47" s="493"/>
      <c r="AI47" s="272"/>
      <c r="AJ47" s="273"/>
      <c r="AR47" s="126"/>
      <c r="AS47" s="121"/>
    </row>
    <row r="48" spans="1:46" ht="16.5" customHeight="1" x14ac:dyDescent="0.25">
      <c r="A48" s="5"/>
      <c r="B48" s="5"/>
      <c r="C48" s="1065"/>
      <c r="D48" s="1065"/>
      <c r="E48" s="1065"/>
      <c r="F48" s="1065"/>
      <c r="G48" s="1061"/>
      <c r="H48" s="227"/>
      <c r="I48" s="261"/>
      <c r="J48" s="261"/>
      <c r="K48" s="349"/>
      <c r="L48" s="301"/>
      <c r="M48" s="301"/>
      <c r="N48" s="385"/>
      <c r="O48" s="181"/>
      <c r="P48" s="181"/>
      <c r="Q48" s="230"/>
      <c r="R48" s="642"/>
      <c r="S48" s="642"/>
      <c r="T48" s="230"/>
      <c r="U48" s="230"/>
      <c r="V48" s="230"/>
      <c r="W48" s="230"/>
      <c r="X48" s="866"/>
      <c r="Y48" s="866"/>
      <c r="Z48" s="230"/>
      <c r="AA48" s="230"/>
      <c r="AB48" s="230"/>
      <c r="AD48" s="492"/>
      <c r="AE48" s="272"/>
      <c r="AF48" s="272"/>
      <c r="AG48" s="493"/>
      <c r="AH48" s="493"/>
      <c r="AI48" s="272"/>
      <c r="AJ48" s="273"/>
    </row>
    <row r="49" spans="1:46" ht="16.5" customHeight="1" x14ac:dyDescent="0.25">
      <c r="A49" s="1269"/>
      <c r="B49" s="1337"/>
      <c r="C49" s="348"/>
      <c r="D49" s="348"/>
      <c r="E49" s="348"/>
      <c r="F49" s="348"/>
      <c r="G49" s="349"/>
      <c r="H49" s="227"/>
      <c r="I49" s="261"/>
      <c r="J49" s="261"/>
      <c r="K49" s="349"/>
      <c r="L49" s="301"/>
      <c r="M49" s="301"/>
      <c r="N49" s="385"/>
      <c r="O49" s="182"/>
      <c r="P49" s="182"/>
      <c r="Q49" s="230"/>
      <c r="R49" s="642"/>
      <c r="S49" s="642"/>
      <c r="T49" s="246"/>
      <c r="U49" s="246"/>
      <c r="V49" s="246"/>
      <c r="W49" s="246"/>
      <c r="X49" s="246"/>
      <c r="Y49" s="246"/>
      <c r="Z49" s="246"/>
      <c r="AA49" s="246"/>
      <c r="AB49" s="246"/>
      <c r="AC49" s="246"/>
      <c r="AD49" s="271"/>
      <c r="AE49" s="259"/>
      <c r="AF49" s="259"/>
      <c r="AG49" s="496"/>
      <c r="AH49" s="496"/>
      <c r="AI49" s="259"/>
      <c r="AJ49" s="497"/>
    </row>
    <row r="50" spans="1:46" ht="16.5" customHeight="1" x14ac:dyDescent="0.25">
      <c r="A50" s="1269"/>
      <c r="B50" s="1337"/>
      <c r="C50" s="348"/>
      <c r="D50" s="348"/>
      <c r="E50" s="348"/>
      <c r="F50" s="348"/>
      <c r="G50" s="349"/>
      <c r="H50" s="227"/>
      <c r="I50" s="261"/>
      <c r="J50" s="261"/>
      <c r="K50" s="349"/>
      <c r="L50" s="1205"/>
      <c r="M50" s="1204" t="s">
        <v>262</v>
      </c>
      <c r="N50" s="382">
        <v>0</v>
      </c>
      <c r="O50" s="25"/>
      <c r="P50" s="25"/>
      <c r="Q50" s="230"/>
      <c r="R50" s="642"/>
      <c r="S50" s="642"/>
      <c r="T50" s="246"/>
      <c r="U50" s="246"/>
      <c r="V50" s="246"/>
      <c r="W50" s="246"/>
      <c r="X50" s="246"/>
      <c r="Y50" s="246"/>
      <c r="Z50" s="246"/>
      <c r="AA50" s="246"/>
      <c r="AB50" s="246"/>
      <c r="AC50" s="246"/>
      <c r="AD50" s="271"/>
      <c r="AE50" s="259"/>
      <c r="AF50" s="259"/>
      <c r="AG50" s="496"/>
      <c r="AH50" s="496"/>
      <c r="AI50" s="272" t="s">
        <v>203</v>
      </c>
      <c r="AJ50" s="273" t="s">
        <v>204</v>
      </c>
    </row>
    <row r="51" spans="1:46" ht="16.5" customHeight="1" thickBot="1" x14ac:dyDescent="0.35">
      <c r="A51" s="1216" t="s">
        <v>30</v>
      </c>
      <c r="B51" s="1216"/>
      <c r="C51" s="1161"/>
      <c r="D51" s="1161"/>
      <c r="E51" s="1161"/>
      <c r="F51" s="1161"/>
      <c r="G51" s="1161"/>
      <c r="H51" s="1161"/>
      <c r="I51" s="1161"/>
      <c r="J51" s="1161"/>
      <c r="K51" s="1161"/>
      <c r="L51" s="1161"/>
      <c r="M51" s="1167"/>
      <c r="N51" s="386">
        <f>SUM(H48:H50)+SUM(N48:N50)</f>
        <v>0</v>
      </c>
      <c r="O51" s="183"/>
      <c r="P51" s="183"/>
      <c r="Q51" s="425" t="s">
        <v>45</v>
      </c>
      <c r="R51" s="1067"/>
      <c r="S51" s="642"/>
      <c r="T51" s="230"/>
      <c r="U51" s="230"/>
      <c r="V51" s="230"/>
      <c r="W51" s="230"/>
      <c r="X51" s="866"/>
      <c r="Y51" s="866"/>
      <c r="Z51" s="230"/>
      <c r="AA51" s="230"/>
      <c r="AB51" s="230"/>
      <c r="AD51" s="271"/>
      <c r="AE51" s="276"/>
      <c r="AF51" s="276"/>
      <c r="AG51" s="262"/>
      <c r="AH51" s="262"/>
      <c r="AI51" s="278" t="s">
        <v>136</v>
      </c>
      <c r="AJ51" s="279" t="s">
        <v>137</v>
      </c>
    </row>
    <row r="52" spans="1:46" ht="16.5" customHeight="1" x14ac:dyDescent="0.25">
      <c r="A52" s="1194" t="s">
        <v>68</v>
      </c>
      <c r="B52" s="1194"/>
      <c r="C52" s="226"/>
      <c r="D52" s="226"/>
      <c r="E52" s="226"/>
      <c r="F52" s="226"/>
      <c r="G52" s="350"/>
      <c r="H52" s="350"/>
      <c r="I52" s="350"/>
      <c r="J52" s="350"/>
      <c r="K52" s="226"/>
      <c r="L52" s="351" t="s">
        <v>72</v>
      </c>
      <c r="M52" s="351" t="s">
        <v>73</v>
      </c>
      <c r="N52" s="338"/>
      <c r="O52" s="180"/>
      <c r="P52" s="180"/>
      <c r="Q52" s="230"/>
      <c r="R52" s="642"/>
      <c r="S52" s="642"/>
      <c r="T52" s="230"/>
      <c r="U52" s="230"/>
      <c r="V52" s="230"/>
      <c r="W52" s="230"/>
      <c r="X52" s="866"/>
      <c r="Y52" s="866"/>
      <c r="Z52" s="230"/>
      <c r="AA52" s="230"/>
      <c r="AB52" s="230"/>
      <c r="AD52" s="1467"/>
      <c r="AE52" s="1468"/>
      <c r="AF52" s="498"/>
      <c r="AG52" s="262"/>
      <c r="AH52" s="1465" t="s">
        <v>160</v>
      </c>
      <c r="AI52" s="1465"/>
      <c r="AJ52" s="1466"/>
    </row>
    <row r="53" spans="1:46" ht="16.5" customHeight="1" x14ac:dyDescent="0.25">
      <c r="A53" s="642"/>
      <c r="B53" s="642"/>
      <c r="C53" s="1062"/>
      <c r="D53" s="1062"/>
      <c r="E53" s="1062"/>
      <c r="F53" s="1062"/>
      <c r="G53" s="1064"/>
      <c r="H53" s="1064"/>
      <c r="I53" s="1064"/>
      <c r="J53" s="1064"/>
      <c r="K53" s="1062"/>
      <c r="L53" s="352"/>
      <c r="M53" s="352"/>
      <c r="N53" s="513">
        <f t="shared" ref="N53:N58" si="27">L53+M53</f>
        <v>0</v>
      </c>
      <c r="O53" s="181"/>
      <c r="P53" s="181"/>
      <c r="Q53" s="230"/>
      <c r="R53" s="642"/>
      <c r="S53" s="642"/>
      <c r="T53" s="230"/>
      <c r="U53" s="230"/>
      <c r="V53" s="230"/>
      <c r="W53" s="230"/>
      <c r="X53" s="866"/>
      <c r="Y53" s="866"/>
      <c r="Z53" s="230"/>
      <c r="AA53" s="230"/>
      <c r="AB53" s="230"/>
      <c r="AD53" s="271"/>
      <c r="AE53" s="259"/>
      <c r="AF53" s="259"/>
      <c r="AG53" s="493"/>
      <c r="AH53" s="493"/>
      <c r="AI53" s="499" t="s">
        <v>171</v>
      </c>
      <c r="AJ53" s="500"/>
      <c r="AK53" s="49"/>
      <c r="AM53" s="49"/>
      <c r="AO53" s="140" t="s">
        <v>171</v>
      </c>
      <c r="AP53" s="49"/>
      <c r="AR53" s="49"/>
      <c r="AS53" s="49"/>
      <c r="AT53" s="49"/>
    </row>
    <row r="54" spans="1:46" ht="16.5" customHeight="1" x14ac:dyDescent="0.25">
      <c r="A54" s="1269"/>
      <c r="B54" s="1337"/>
      <c r="C54" s="226"/>
      <c r="D54" s="226"/>
      <c r="E54" s="226"/>
      <c r="F54" s="226"/>
      <c r="G54" s="301"/>
      <c r="H54" s="301"/>
      <c r="I54" s="301"/>
      <c r="J54" s="301"/>
      <c r="K54" s="262"/>
      <c r="L54" s="352"/>
      <c r="M54" s="352"/>
      <c r="N54" s="513">
        <f t="shared" si="27"/>
        <v>0</v>
      </c>
      <c r="O54" s="25"/>
      <c r="P54" s="25"/>
      <c r="Q54" s="230"/>
      <c r="R54" s="642"/>
      <c r="S54" s="642"/>
      <c r="T54" s="230"/>
      <c r="U54" s="230"/>
      <c r="V54" s="230"/>
      <c r="W54" s="230"/>
      <c r="X54" s="866"/>
      <c r="Y54" s="866"/>
      <c r="Z54" s="230"/>
      <c r="AA54" s="230"/>
      <c r="AB54" s="230"/>
      <c r="AD54" s="492"/>
      <c r="AE54" s="272"/>
      <c r="AF54" s="259"/>
      <c r="AG54" s="493"/>
      <c r="AH54" s="646">
        <f>N185</f>
        <v>0</v>
      </c>
      <c r="AI54" s="837"/>
      <c r="AJ54" s="264">
        <f>1-AI54</f>
        <v>1</v>
      </c>
      <c r="AL54" s="4"/>
      <c r="AM54" s="4"/>
      <c r="AO54" s="4">
        <f>N185*AI54</f>
        <v>0</v>
      </c>
      <c r="AP54" s="4">
        <f>N185*AJ54</f>
        <v>0</v>
      </c>
      <c r="AR54" s="4">
        <f>AL54+AO54</f>
        <v>0</v>
      </c>
      <c r="AS54" s="4">
        <f>AM54+AP54</f>
        <v>0</v>
      </c>
      <c r="AT54" s="121">
        <f>AR54+AS54</f>
        <v>0</v>
      </c>
    </row>
    <row r="55" spans="1:46" ht="16.5" customHeight="1" x14ac:dyDescent="0.25">
      <c r="A55" s="1269"/>
      <c r="B55" s="1337"/>
      <c r="C55" s="226"/>
      <c r="D55" s="226"/>
      <c r="E55" s="226"/>
      <c r="F55" s="226"/>
      <c r="G55" s="301"/>
      <c r="H55" s="301"/>
      <c r="I55" s="301"/>
      <c r="J55" s="301"/>
      <c r="K55" s="262"/>
      <c r="L55" s="352"/>
      <c r="M55" s="352"/>
      <c r="N55" s="513">
        <f t="shared" si="27"/>
        <v>0</v>
      </c>
      <c r="O55" s="25"/>
      <c r="P55" s="25"/>
      <c r="Q55" s="230"/>
      <c r="R55" s="642"/>
      <c r="S55" s="642"/>
      <c r="T55" s="230"/>
      <c r="U55" s="230"/>
      <c r="V55" s="230"/>
      <c r="W55" s="230"/>
      <c r="X55" s="866"/>
      <c r="Y55" s="866"/>
      <c r="Z55" s="230"/>
      <c r="AA55" s="230"/>
      <c r="AB55" s="230"/>
      <c r="AD55" s="492"/>
      <c r="AE55" s="272"/>
      <c r="AF55" s="259"/>
      <c r="AG55" s="493"/>
      <c r="AH55" s="259"/>
      <c r="AI55" s="259"/>
      <c r="AJ55" s="273"/>
    </row>
    <row r="56" spans="1:46" ht="16.5" customHeight="1" x14ac:dyDescent="0.25">
      <c r="A56" s="1269"/>
      <c r="B56" s="1337"/>
      <c r="C56" s="226"/>
      <c r="D56" s="226"/>
      <c r="E56" s="226"/>
      <c r="F56" s="226"/>
      <c r="G56" s="301"/>
      <c r="H56" s="301"/>
      <c r="I56" s="301"/>
      <c r="J56" s="301"/>
      <c r="K56" s="262"/>
      <c r="L56" s="352"/>
      <c r="M56" s="352"/>
      <c r="N56" s="513">
        <f t="shared" si="27"/>
        <v>0</v>
      </c>
      <c r="O56" s="25"/>
      <c r="P56" s="25"/>
      <c r="Q56" s="230"/>
      <c r="R56" s="642"/>
      <c r="S56" s="642"/>
      <c r="T56" s="230"/>
      <c r="U56" s="230"/>
      <c r="V56" s="230"/>
      <c r="W56" s="230"/>
      <c r="X56" s="866"/>
      <c r="Y56" s="866"/>
      <c r="Z56" s="230"/>
      <c r="AA56" s="230"/>
      <c r="AB56" s="230"/>
      <c r="AD56" s="492"/>
      <c r="AE56" s="272"/>
      <c r="AF56" s="259"/>
      <c r="AG56" s="493"/>
      <c r="AH56" s="259"/>
      <c r="AI56" s="272" t="s">
        <v>203</v>
      </c>
      <c r="AJ56" s="273" t="s">
        <v>204</v>
      </c>
    </row>
    <row r="57" spans="1:46" ht="16.5" customHeight="1" x14ac:dyDescent="0.25">
      <c r="A57" s="1195" t="s">
        <v>175</v>
      </c>
      <c r="B57" s="1195"/>
      <c r="C57" s="354"/>
      <c r="D57" s="354"/>
      <c r="E57" s="354"/>
      <c r="F57" s="354"/>
      <c r="G57" s="355"/>
      <c r="H57" s="355"/>
      <c r="I57" s="355"/>
      <c r="J57" s="355"/>
      <c r="K57" s="356"/>
      <c r="L57" s="357"/>
      <c r="M57" s="997"/>
      <c r="N57" s="513">
        <f t="shared" si="27"/>
        <v>0</v>
      </c>
      <c r="O57" s="25"/>
      <c r="P57" s="25"/>
      <c r="Q57" s="230"/>
      <c r="R57" s="642"/>
      <c r="S57" s="642"/>
      <c r="T57" s="230"/>
      <c r="U57" s="230"/>
      <c r="V57" s="230"/>
      <c r="W57" s="230"/>
      <c r="X57" s="866"/>
      <c r="Y57" s="866"/>
      <c r="Z57" s="230"/>
      <c r="AA57" s="230"/>
      <c r="AB57" s="230"/>
      <c r="AD57" s="492"/>
      <c r="AE57" s="272"/>
      <c r="AF57" s="259"/>
      <c r="AG57" s="493"/>
      <c r="AH57" s="502"/>
      <c r="AI57" s="502" t="s">
        <v>172</v>
      </c>
      <c r="AJ57" s="273"/>
      <c r="AO57" s="139" t="s">
        <v>172</v>
      </c>
    </row>
    <row r="58" spans="1:46" ht="17.25" customHeight="1" x14ac:dyDescent="0.25">
      <c r="A58" s="293"/>
      <c r="B58" s="293"/>
      <c r="C58" s="294"/>
      <c r="D58" s="294"/>
      <c r="E58" s="294"/>
      <c r="F58" s="294"/>
      <c r="G58" s="295"/>
      <c r="H58" s="295"/>
      <c r="I58" s="295"/>
      <c r="J58" s="295"/>
      <c r="K58" s="1204" t="s">
        <v>224</v>
      </c>
      <c r="L58" s="297">
        <v>0</v>
      </c>
      <c r="M58" s="297">
        <v>0</v>
      </c>
      <c r="N58" s="382">
        <f t="shared" si="27"/>
        <v>0</v>
      </c>
      <c r="O58" s="25"/>
      <c r="P58" s="25"/>
      <c r="Q58" s="230"/>
      <c r="R58" s="642"/>
      <c r="S58" s="642"/>
      <c r="T58" s="230"/>
      <c r="U58" s="230"/>
      <c r="V58" s="230"/>
      <c r="W58" s="230"/>
      <c r="X58" s="866"/>
      <c r="Y58" s="866"/>
      <c r="Z58" s="230"/>
      <c r="AA58" s="230"/>
      <c r="AB58" s="230"/>
      <c r="AD58" s="492"/>
      <c r="AE58" s="272"/>
      <c r="AF58" s="259"/>
      <c r="AG58" s="493"/>
      <c r="AH58" s="647">
        <f>N128</f>
        <v>0</v>
      </c>
      <c r="AI58" s="837"/>
      <c r="AJ58" s="264">
        <f>1-AI58</f>
        <v>1</v>
      </c>
      <c r="AO58" s="129">
        <f>N128*AI58</f>
        <v>0</v>
      </c>
      <c r="AP58" s="1">
        <f>N128*AJ58</f>
        <v>0</v>
      </c>
      <c r="AR58" s="4">
        <f>AL58+AO58</f>
        <v>0</v>
      </c>
      <c r="AS58" s="1">
        <f>AM58+AP58</f>
        <v>0</v>
      </c>
      <c r="AT58" s="121">
        <f>AR58+AS58</f>
        <v>0</v>
      </c>
    </row>
    <row r="59" spans="1:46" ht="16.5" customHeight="1" thickBot="1" x14ac:dyDescent="0.35">
      <c r="A59" s="1210" t="s">
        <v>47</v>
      </c>
      <c r="B59" s="1210"/>
      <c r="C59" s="1169"/>
      <c r="D59" s="1169"/>
      <c r="E59" s="1169"/>
      <c r="F59" s="1169"/>
      <c r="G59" s="1169"/>
      <c r="H59" s="1169"/>
      <c r="I59" s="1169"/>
      <c r="J59" s="1169"/>
      <c r="K59" s="1169"/>
      <c r="L59" s="1175">
        <f>SUM(L53:L58)</f>
        <v>0</v>
      </c>
      <c r="M59" s="106">
        <f>SUM(M53:M58)</f>
        <v>0</v>
      </c>
      <c r="N59" s="388">
        <f>SUM(N53:N58)</f>
        <v>0</v>
      </c>
      <c r="O59" s="175"/>
      <c r="P59" s="175"/>
      <c r="Q59" s="425" t="s">
        <v>140</v>
      </c>
      <c r="R59" s="1067"/>
      <c r="S59" s="642"/>
      <c r="T59" s="230"/>
      <c r="U59" s="230"/>
      <c r="V59" s="230"/>
      <c r="W59" s="230"/>
      <c r="X59" s="866"/>
      <c r="Y59" s="866"/>
      <c r="Z59" s="230"/>
      <c r="AA59" s="230"/>
      <c r="AB59" s="230"/>
      <c r="AD59" s="494" t="s">
        <v>170</v>
      </c>
      <c r="AE59" s="272" t="s">
        <v>203</v>
      </c>
      <c r="AF59" s="272" t="s">
        <v>204</v>
      </c>
      <c r="AG59" s="493"/>
      <c r="AH59" s="236" t="s">
        <v>170</v>
      </c>
      <c r="AI59" s="272" t="s">
        <v>203</v>
      </c>
      <c r="AJ59" s="273" t="s">
        <v>204</v>
      </c>
      <c r="AL59" s="49"/>
      <c r="AM59" s="49"/>
      <c r="AO59" s="49"/>
      <c r="AP59" s="49"/>
      <c r="AR59" s="49"/>
      <c r="AS59" s="49"/>
      <c r="AT59" s="49"/>
    </row>
    <row r="60" spans="1:46" ht="16.5" customHeight="1" x14ac:dyDescent="0.25">
      <c r="A60" s="1187" t="s">
        <v>65</v>
      </c>
      <c r="B60" s="1187"/>
      <c r="C60" s="226"/>
      <c r="D60" s="226"/>
      <c r="E60" s="226"/>
      <c r="F60" s="226"/>
      <c r="G60" s="301"/>
      <c r="H60" s="301"/>
      <c r="I60" s="301"/>
      <c r="J60" s="301"/>
      <c r="K60" s="301"/>
      <c r="L60" s="301"/>
      <c r="M60" s="301"/>
      <c r="N60" s="338"/>
      <c r="O60" s="180"/>
      <c r="P60" s="180"/>
      <c r="Q60" s="230"/>
      <c r="R60" s="642"/>
      <c r="S60" s="642"/>
      <c r="T60" s="230"/>
      <c r="U60" s="230"/>
      <c r="V60" s="230"/>
      <c r="W60" s="230"/>
      <c r="X60" s="866"/>
      <c r="Y60" s="866"/>
      <c r="Z60" s="230"/>
      <c r="AA60" s="230"/>
      <c r="AB60" s="230"/>
      <c r="AD60" s="274" t="s">
        <v>167</v>
      </c>
      <c r="AE60" s="278" t="s">
        <v>136</v>
      </c>
      <c r="AF60" s="278" t="s">
        <v>137</v>
      </c>
      <c r="AG60" s="493"/>
      <c r="AH60" s="275" t="s">
        <v>167</v>
      </c>
      <c r="AI60" s="278" t="s">
        <v>136</v>
      </c>
      <c r="AJ60" s="278" t="s">
        <v>137</v>
      </c>
      <c r="AL60" s="160" t="s">
        <v>67</v>
      </c>
      <c r="AR60" s="126"/>
      <c r="AS60" s="4"/>
    </row>
    <row r="61" spans="1:46" ht="16.5" customHeight="1" x14ac:dyDescent="0.25">
      <c r="A61" s="642"/>
      <c r="B61" s="642"/>
      <c r="C61" s="342"/>
      <c r="D61" s="342"/>
      <c r="E61" s="342"/>
      <c r="F61" s="342"/>
      <c r="G61" s="301"/>
      <c r="H61" s="227"/>
      <c r="I61" s="261"/>
      <c r="J61" s="261"/>
      <c r="K61" s="261"/>
      <c r="L61" s="301"/>
      <c r="M61" s="301"/>
      <c r="N61" s="227"/>
      <c r="O61" s="181"/>
      <c r="P61" s="181"/>
      <c r="Q61" s="230"/>
      <c r="R61" s="642"/>
      <c r="S61" s="642"/>
      <c r="T61" s="230"/>
      <c r="U61" s="230"/>
      <c r="V61" s="230"/>
      <c r="W61" s="230"/>
      <c r="X61" s="866"/>
      <c r="Y61" s="866"/>
      <c r="Z61" s="230"/>
      <c r="AA61" s="230"/>
      <c r="AB61" s="230"/>
      <c r="AD61" s="1463" t="s">
        <v>159</v>
      </c>
      <c r="AE61" s="1464"/>
      <c r="AF61" s="501"/>
      <c r="AG61" s="493"/>
      <c r="AH61" s="1465" t="s">
        <v>160</v>
      </c>
      <c r="AI61" s="1465"/>
      <c r="AJ61" s="1466"/>
    </row>
    <row r="62" spans="1:46" ht="16.5" customHeight="1" x14ac:dyDescent="0.25">
      <c r="A62" s="305"/>
      <c r="B62" s="305"/>
      <c r="C62" s="359"/>
      <c r="D62" s="359"/>
      <c r="E62" s="359"/>
      <c r="F62" s="359"/>
      <c r="G62" s="349"/>
      <c r="H62" s="227"/>
      <c r="I62" s="261"/>
      <c r="J62" s="261"/>
      <c r="K62" s="261"/>
      <c r="L62" s="301"/>
      <c r="M62" s="301"/>
      <c r="N62" s="227"/>
      <c r="O62" s="25"/>
      <c r="P62" s="25"/>
      <c r="Q62" s="230"/>
      <c r="R62" s="642"/>
      <c r="S62" s="642"/>
      <c r="T62" s="230"/>
      <c r="U62" s="230"/>
      <c r="V62" s="230"/>
      <c r="W62" s="230"/>
      <c r="X62" s="866"/>
      <c r="Y62" s="866"/>
      <c r="Z62" s="230"/>
      <c r="AA62" s="230"/>
      <c r="AB62" s="230"/>
      <c r="AD62" s="643">
        <f>H62</f>
        <v>0</v>
      </c>
      <c r="AE62" s="837"/>
      <c r="AF62" s="495">
        <f>1-AE62</f>
        <v>1</v>
      </c>
      <c r="AG62" s="493"/>
      <c r="AH62" s="644">
        <f>N62</f>
        <v>0</v>
      </c>
      <c r="AI62" s="837"/>
      <c r="AJ62" s="264">
        <f>1-AI62</f>
        <v>1</v>
      </c>
      <c r="AL62" s="4">
        <f>H62*AE62</f>
        <v>0</v>
      </c>
      <c r="AM62" s="4">
        <f>H62*AF62</f>
        <v>0</v>
      </c>
      <c r="AO62" s="4">
        <f t="shared" ref="AO62:AO67" si="28">N62*AI62</f>
        <v>0</v>
      </c>
      <c r="AP62" s="4">
        <f t="shared" ref="AP62:AP67" si="29">N62*AJ62</f>
        <v>0</v>
      </c>
      <c r="AR62" s="4">
        <f>AL62+AO62</f>
        <v>0</v>
      </c>
      <c r="AS62" s="4">
        <f>AM62+AP62</f>
        <v>0</v>
      </c>
      <c r="AT62" s="4">
        <f>SUM(AR62:AS62)</f>
        <v>0</v>
      </c>
    </row>
    <row r="63" spans="1:46" ht="16.5" customHeight="1" x14ac:dyDescent="0.25">
      <c r="A63" s="305"/>
      <c r="B63" s="305"/>
      <c r="C63" s="359"/>
      <c r="D63" s="359"/>
      <c r="E63" s="359"/>
      <c r="F63" s="359"/>
      <c r="G63" s="349"/>
      <c r="H63" s="227"/>
      <c r="I63" s="261"/>
      <c r="J63" s="261"/>
      <c r="K63" s="261"/>
      <c r="L63" s="301"/>
      <c r="M63" s="301"/>
      <c r="N63" s="227"/>
      <c r="O63" s="25"/>
      <c r="P63" s="25"/>
      <c r="Q63" s="230"/>
      <c r="R63" s="642"/>
      <c r="S63" s="642"/>
      <c r="T63" s="230"/>
      <c r="U63" s="230"/>
      <c r="V63" s="230"/>
      <c r="W63" s="230"/>
      <c r="X63" s="866"/>
      <c r="Y63" s="866"/>
      <c r="Z63" s="230"/>
      <c r="AA63" s="230"/>
      <c r="AB63" s="230"/>
      <c r="AD63" s="643">
        <f>H63</f>
        <v>0</v>
      </c>
      <c r="AE63" s="837"/>
      <c r="AF63" s="495">
        <f t="shared" ref="AF63:AF66" si="30">1-AE63</f>
        <v>1</v>
      </c>
      <c r="AG63" s="493"/>
      <c r="AH63" s="644">
        <f>N63</f>
        <v>0</v>
      </c>
      <c r="AI63" s="837"/>
      <c r="AJ63" s="264">
        <f t="shared" ref="AJ63:AJ70" si="31">1-AI63</f>
        <v>1</v>
      </c>
      <c r="AL63" s="4">
        <f>H63*AE63</f>
        <v>0</v>
      </c>
      <c r="AM63" s="4">
        <f>H63*AF63</f>
        <v>0</v>
      </c>
      <c r="AO63" s="4">
        <f t="shared" si="28"/>
        <v>0</v>
      </c>
      <c r="AP63" s="4">
        <f t="shared" si="29"/>
        <v>0</v>
      </c>
      <c r="AR63" s="4">
        <f t="shared" ref="AR63:AS70" si="32">AL63+AO63</f>
        <v>0</v>
      </c>
      <c r="AS63" s="4">
        <f t="shared" si="32"/>
        <v>0</v>
      </c>
      <c r="AT63" s="4">
        <f t="shared" ref="AT63:AT74" si="33">SUM(AR63:AS63)</f>
        <v>0</v>
      </c>
    </row>
    <row r="64" spans="1:46" ht="16.5" customHeight="1" x14ac:dyDescent="0.25">
      <c r="A64" s="305"/>
      <c r="B64" s="305"/>
      <c r="C64" s="359"/>
      <c r="D64" s="359"/>
      <c r="E64" s="359"/>
      <c r="F64" s="359"/>
      <c r="G64" s="349"/>
      <c r="H64" s="227"/>
      <c r="I64" s="261"/>
      <c r="J64" s="261"/>
      <c r="K64" s="261"/>
      <c r="L64" s="301"/>
      <c r="M64" s="301"/>
      <c r="N64" s="227"/>
      <c r="O64" s="25"/>
      <c r="P64" s="25"/>
      <c r="Q64" s="230"/>
      <c r="R64" s="642"/>
      <c r="S64" s="642"/>
      <c r="T64" s="230"/>
      <c r="U64" s="230"/>
      <c r="V64" s="230"/>
      <c r="W64" s="230"/>
      <c r="X64" s="866"/>
      <c r="Y64" s="866"/>
      <c r="Z64" s="230"/>
      <c r="AA64" s="230"/>
      <c r="AB64" s="230"/>
      <c r="AD64" s="643">
        <f>H64</f>
        <v>0</v>
      </c>
      <c r="AE64" s="837"/>
      <c r="AF64" s="495">
        <f t="shared" si="30"/>
        <v>1</v>
      </c>
      <c r="AG64" s="493"/>
      <c r="AH64" s="644">
        <f>N64</f>
        <v>0</v>
      </c>
      <c r="AI64" s="837"/>
      <c r="AJ64" s="264">
        <f t="shared" si="31"/>
        <v>1</v>
      </c>
      <c r="AL64" s="4">
        <f>H64*AE64</f>
        <v>0</v>
      </c>
      <c r="AM64" s="4">
        <f>H64*AF64</f>
        <v>0</v>
      </c>
      <c r="AO64" s="4">
        <f t="shared" si="28"/>
        <v>0</v>
      </c>
      <c r="AP64" s="4">
        <f t="shared" si="29"/>
        <v>0</v>
      </c>
      <c r="AR64" s="4">
        <f t="shared" si="32"/>
        <v>0</v>
      </c>
      <c r="AS64" s="4">
        <f t="shared" si="32"/>
        <v>0</v>
      </c>
      <c r="AT64" s="4">
        <f t="shared" si="33"/>
        <v>0</v>
      </c>
    </row>
    <row r="65" spans="1:57" ht="16.5" customHeight="1" x14ac:dyDescent="0.25">
      <c r="A65" s="305"/>
      <c r="B65" s="305"/>
      <c r="C65" s="359"/>
      <c r="D65" s="359"/>
      <c r="E65" s="359"/>
      <c r="F65" s="359"/>
      <c r="G65" s="349"/>
      <c r="H65" s="227"/>
      <c r="I65" s="261"/>
      <c r="J65" s="261"/>
      <c r="K65" s="261"/>
      <c r="L65" s="301"/>
      <c r="M65" s="301"/>
      <c r="N65" s="227"/>
      <c r="O65" s="25"/>
      <c r="P65" s="25"/>
      <c r="Q65" s="230"/>
      <c r="R65" s="642"/>
      <c r="S65" s="642"/>
      <c r="T65" s="230"/>
      <c r="U65" s="230"/>
      <c r="V65" s="230"/>
      <c r="W65" s="230"/>
      <c r="X65" s="866"/>
      <c r="Y65" s="866"/>
      <c r="Z65" s="230"/>
      <c r="AA65" s="230"/>
      <c r="AB65" s="230"/>
      <c r="AD65" s="643">
        <f>H65</f>
        <v>0</v>
      </c>
      <c r="AE65" s="837"/>
      <c r="AF65" s="495">
        <f t="shared" si="30"/>
        <v>1</v>
      </c>
      <c r="AG65" s="493"/>
      <c r="AH65" s="644">
        <f>N65</f>
        <v>0</v>
      </c>
      <c r="AI65" s="837"/>
      <c r="AJ65" s="264">
        <f t="shared" si="31"/>
        <v>1</v>
      </c>
      <c r="AL65" s="4">
        <f>H65*AE65</f>
        <v>0</v>
      </c>
      <c r="AM65" s="4">
        <f>H65*AF65</f>
        <v>0</v>
      </c>
      <c r="AO65" s="4">
        <f t="shared" si="28"/>
        <v>0</v>
      </c>
      <c r="AP65" s="4">
        <f t="shared" si="29"/>
        <v>0</v>
      </c>
      <c r="AR65" s="4">
        <f t="shared" si="32"/>
        <v>0</v>
      </c>
      <c r="AS65" s="4">
        <f t="shared" si="32"/>
        <v>0</v>
      </c>
      <c r="AT65" s="4">
        <f t="shared" si="33"/>
        <v>0</v>
      </c>
    </row>
    <row r="66" spans="1:57" ht="16.5" customHeight="1" x14ac:dyDescent="0.25">
      <c r="A66" s="305"/>
      <c r="B66" s="305"/>
      <c r="C66" s="359"/>
      <c r="D66" s="359"/>
      <c r="E66" s="359"/>
      <c r="F66" s="359"/>
      <c r="G66" s="349"/>
      <c r="H66" s="227"/>
      <c r="I66" s="261"/>
      <c r="J66" s="261"/>
      <c r="K66" s="261"/>
      <c r="L66" s="301"/>
      <c r="M66" s="301"/>
      <c r="N66" s="227"/>
      <c r="O66" s="25"/>
      <c r="P66" s="25"/>
      <c r="Q66" s="326"/>
      <c r="R66" s="640"/>
      <c r="S66" s="640"/>
      <c r="T66" s="326"/>
      <c r="U66" s="326"/>
      <c r="V66" s="326"/>
      <c r="W66" s="326"/>
      <c r="X66" s="326"/>
      <c r="Y66" s="326"/>
      <c r="Z66" s="326"/>
      <c r="AA66" s="326"/>
      <c r="AB66" s="326"/>
      <c r="AC66" s="326"/>
      <c r="AD66" s="648">
        <f>H66</f>
        <v>0</v>
      </c>
      <c r="AE66" s="837"/>
      <c r="AF66" s="649">
        <f t="shared" si="30"/>
        <v>1</v>
      </c>
      <c r="AG66" s="496"/>
      <c r="AH66" s="644">
        <f>N66</f>
        <v>0</v>
      </c>
      <c r="AI66" s="837"/>
      <c r="AJ66" s="264">
        <f t="shared" si="31"/>
        <v>1</v>
      </c>
      <c r="AL66" s="4">
        <f>H66*AE66</f>
        <v>0</v>
      </c>
      <c r="AM66" s="4">
        <f>H66*AF66</f>
        <v>0</v>
      </c>
      <c r="AO66" s="4">
        <f t="shared" si="28"/>
        <v>0</v>
      </c>
      <c r="AP66" s="4">
        <f t="shared" si="29"/>
        <v>0</v>
      </c>
      <c r="AR66" s="4">
        <f t="shared" si="32"/>
        <v>0</v>
      </c>
      <c r="AS66" s="4">
        <f t="shared" si="32"/>
        <v>0</v>
      </c>
      <c r="AT66" s="4">
        <f t="shared" si="33"/>
        <v>0</v>
      </c>
    </row>
    <row r="67" spans="1:57" s="56" customFormat="1" ht="4.5" customHeight="1" x14ac:dyDescent="0.25">
      <c r="A67" s="104"/>
      <c r="B67" s="104"/>
      <c r="C67" s="105"/>
      <c r="D67" s="105"/>
      <c r="E67" s="105"/>
      <c r="F67" s="105"/>
      <c r="G67" s="51"/>
      <c r="H67" s="102"/>
      <c r="I67" s="102"/>
      <c r="J67" s="102"/>
      <c r="K67" s="102"/>
      <c r="L67" s="364"/>
      <c r="M67" s="365"/>
      <c r="N67" s="389"/>
      <c r="O67" s="25"/>
      <c r="P67" s="25"/>
      <c r="Q67" s="326"/>
      <c r="R67" s="640"/>
      <c r="S67" s="640"/>
      <c r="T67" s="326"/>
      <c r="U67" s="326"/>
      <c r="V67" s="326"/>
      <c r="W67" s="326"/>
      <c r="X67" s="326"/>
      <c r="Y67" s="326"/>
      <c r="Z67" s="326"/>
      <c r="AA67" s="326"/>
      <c r="AB67" s="326"/>
      <c r="AC67" s="326"/>
      <c r="AD67" s="271"/>
      <c r="AE67" s="259"/>
      <c r="AF67" s="259"/>
      <c r="AG67" s="496"/>
      <c r="AH67" s="698"/>
      <c r="AI67" s="503"/>
      <c r="AJ67" s="273"/>
      <c r="AL67" s="4"/>
      <c r="AM67" s="4"/>
      <c r="AO67" s="4">
        <f t="shared" si="28"/>
        <v>0</v>
      </c>
      <c r="AP67" s="4">
        <f t="shared" si="29"/>
        <v>0</v>
      </c>
      <c r="AR67" s="4">
        <f t="shared" si="32"/>
        <v>0</v>
      </c>
      <c r="AS67" s="4">
        <f t="shared" si="32"/>
        <v>0</v>
      </c>
      <c r="AT67" s="4">
        <f>SUM(AR67:AS67)</f>
        <v>0</v>
      </c>
      <c r="AU67" s="325"/>
      <c r="AV67" s="325"/>
      <c r="AW67" s="325"/>
      <c r="AX67" s="325"/>
      <c r="AY67" s="325"/>
      <c r="AZ67" s="325"/>
      <c r="BA67" s="325"/>
      <c r="BB67" s="325"/>
      <c r="BC67" s="325"/>
      <c r="BD67" s="325"/>
      <c r="BE67" s="325"/>
    </row>
    <row r="68" spans="1:57" ht="16.5" customHeight="1" x14ac:dyDescent="0.25">
      <c r="A68" s="1198" t="s">
        <v>540</v>
      </c>
      <c r="B68" s="1198"/>
      <c r="C68" s="1197"/>
      <c r="D68" s="1197"/>
      <c r="E68" s="1197"/>
      <c r="F68" s="1197"/>
      <c r="G68" s="368"/>
      <c r="H68" s="369"/>
      <c r="I68" s="369"/>
      <c r="J68" s="369"/>
      <c r="K68" s="369"/>
      <c r="L68" s="369"/>
      <c r="M68" s="369"/>
      <c r="N68" s="390" t="s">
        <v>433</v>
      </c>
      <c r="O68" s="184"/>
      <c r="P68" s="184"/>
      <c r="Q68" s="326"/>
      <c r="R68" s="640"/>
      <c r="S68" s="640"/>
      <c r="T68" s="326"/>
      <c r="U68" s="326"/>
      <c r="V68" s="326"/>
      <c r="W68" s="326"/>
      <c r="X68" s="326"/>
      <c r="Y68" s="326"/>
      <c r="Z68" s="326"/>
      <c r="AA68" s="326"/>
      <c r="AB68" s="326"/>
      <c r="AC68" s="326"/>
      <c r="AD68" s="271"/>
      <c r="AE68" s="259"/>
      <c r="AF68" s="259"/>
      <c r="AG68" s="246"/>
      <c r="AH68" s="262"/>
      <c r="AI68" s="272"/>
      <c r="AJ68" s="273"/>
      <c r="AL68" s="4"/>
      <c r="AM68" s="4"/>
      <c r="AO68" s="4"/>
      <c r="AP68" s="4"/>
      <c r="AR68" s="4"/>
      <c r="AS68" s="4"/>
      <c r="AT68" s="4">
        <f t="shared" si="33"/>
        <v>0</v>
      </c>
    </row>
    <row r="69" spans="1:57" ht="16.5" customHeight="1" x14ac:dyDescent="0.25">
      <c r="A69" s="370" t="s">
        <v>541</v>
      </c>
      <c r="B69" s="1338"/>
      <c r="C69" s="21" t="str">
        <f>'Federal Grad Student'!A20</f>
        <v xml:space="preserve"> Direct Compensation</v>
      </c>
      <c r="D69" s="21"/>
      <c r="E69" s="21"/>
      <c r="F69" s="21"/>
      <c r="G69" s="349"/>
      <c r="H69" s="301"/>
      <c r="I69" s="301"/>
      <c r="J69" s="301"/>
      <c r="K69" s="261"/>
      <c r="L69" s="301"/>
      <c r="M69" s="301"/>
      <c r="N69" s="391">
        <f>IF($L$187="Yes", 'Federal Grad Student'!C158, 0)</f>
        <v>0</v>
      </c>
      <c r="O69" s="25"/>
      <c r="P69" s="25"/>
      <c r="Q69" s="326"/>
      <c r="R69" s="642"/>
      <c r="S69" s="642"/>
      <c r="T69" s="230"/>
      <c r="U69" s="230"/>
      <c r="V69" s="230"/>
      <c r="W69" s="230"/>
      <c r="X69" s="866"/>
      <c r="Y69" s="866"/>
      <c r="Z69" s="230"/>
      <c r="AA69" s="230"/>
      <c r="AB69" s="230"/>
      <c r="AD69" s="492"/>
      <c r="AE69" s="261"/>
      <c r="AF69" s="272"/>
      <c r="AG69" s="262"/>
      <c r="AH69" s="644">
        <f>N69</f>
        <v>0</v>
      </c>
      <c r="AI69" s="504"/>
      <c r="AJ69" s="264">
        <f t="shared" si="31"/>
        <v>1</v>
      </c>
      <c r="AL69" s="4" t="e">
        <f>#REF!*AE69</f>
        <v>#REF!</v>
      </c>
      <c r="AM69" s="4" t="e">
        <f>#REF!*AF69</f>
        <v>#REF!</v>
      </c>
      <c r="AO69" s="4">
        <f>N69*AI69</f>
        <v>0</v>
      </c>
      <c r="AP69" s="4">
        <f>N69*AJ69</f>
        <v>0</v>
      </c>
      <c r="AR69" s="4" t="e">
        <f t="shared" si="32"/>
        <v>#REF!</v>
      </c>
      <c r="AS69" s="4" t="e">
        <f t="shared" si="32"/>
        <v>#REF!</v>
      </c>
      <c r="AT69" s="4" t="e">
        <f t="shared" si="33"/>
        <v>#REF!</v>
      </c>
    </row>
    <row r="70" spans="1:57" ht="16.5" customHeight="1" x14ac:dyDescent="0.25">
      <c r="A70" s="1200" t="s">
        <v>548</v>
      </c>
      <c r="B70" s="1339"/>
      <c r="C70" s="21" t="str">
        <f>'Federal Grad Student'!A21</f>
        <v xml:space="preserve"> Health Insurance</v>
      </c>
      <c r="D70" s="21"/>
      <c r="E70" s="21"/>
      <c r="F70" s="21"/>
      <c r="G70" s="349"/>
      <c r="H70" s="301"/>
      <c r="I70" s="301"/>
      <c r="J70" s="301"/>
      <c r="K70" s="261"/>
      <c r="L70" s="301"/>
      <c r="M70" s="301"/>
      <c r="N70" s="392">
        <f>IF($L$187="Yes", 'Federal Grad Student'!C159, 0)</f>
        <v>0</v>
      </c>
      <c r="O70" s="25"/>
      <c r="P70" s="25"/>
      <c r="Q70" s="326"/>
      <c r="R70" s="642"/>
      <c r="S70" s="642"/>
      <c r="T70" s="230"/>
      <c r="U70" s="230"/>
      <c r="V70" s="230"/>
      <c r="W70" s="230"/>
      <c r="X70" s="866"/>
      <c r="Y70" s="866"/>
      <c r="Z70" s="230"/>
      <c r="AA70" s="230"/>
      <c r="AB70" s="230"/>
      <c r="AD70" s="492"/>
      <c r="AE70" s="261"/>
      <c r="AF70" s="272"/>
      <c r="AG70" s="262"/>
      <c r="AH70" s="644">
        <f>N70</f>
        <v>0</v>
      </c>
      <c r="AI70" s="504"/>
      <c r="AJ70" s="264">
        <f t="shared" si="31"/>
        <v>1</v>
      </c>
      <c r="AL70" s="4" t="e">
        <f>#REF!*AE70</f>
        <v>#REF!</v>
      </c>
      <c r="AM70" s="4" t="e">
        <f>#REF!*AF70</f>
        <v>#REF!</v>
      </c>
      <c r="AO70" s="4">
        <f>N70*AI70</f>
        <v>0</v>
      </c>
      <c r="AP70" s="4">
        <f>N70*AJ70</f>
        <v>0</v>
      </c>
      <c r="AR70" s="4" t="e">
        <f t="shared" si="32"/>
        <v>#REF!</v>
      </c>
      <c r="AS70" s="4" t="e">
        <f t="shared" si="32"/>
        <v>#REF!</v>
      </c>
      <c r="AT70" s="4" t="e">
        <f t="shared" si="33"/>
        <v>#REF!</v>
      </c>
    </row>
    <row r="71" spans="1:57" ht="16.5" customHeight="1" x14ac:dyDescent="0.3">
      <c r="A71" s="372" t="s">
        <v>542</v>
      </c>
      <c r="B71" s="1340"/>
      <c r="C71" s="1199" t="str">
        <f>'Federal Grad Student'!A22</f>
        <v xml:space="preserve"> Tuition/Fees</v>
      </c>
      <c r="D71" s="1199"/>
      <c r="E71" s="1199"/>
      <c r="F71" s="1199"/>
      <c r="G71" s="374"/>
      <c r="H71" s="375"/>
      <c r="I71" s="375"/>
      <c r="J71" s="375"/>
      <c r="K71" s="358"/>
      <c r="L71" s="375"/>
      <c r="M71" s="375"/>
      <c r="N71" s="393">
        <f>IF($L$187="Yes", 'Federal Grad Student'!C160, 0)</f>
        <v>0</v>
      </c>
      <c r="O71" s="25"/>
      <c r="P71" s="25"/>
      <c r="Q71" s="425" t="s">
        <v>45</v>
      </c>
      <c r="R71" s="1067"/>
      <c r="S71" s="642"/>
      <c r="T71" s="230"/>
      <c r="U71" s="230"/>
      <c r="V71" s="230"/>
      <c r="W71" s="230"/>
      <c r="X71" s="866"/>
      <c r="Y71" s="866"/>
      <c r="Z71" s="230"/>
      <c r="AA71" s="230"/>
      <c r="AB71" s="230"/>
      <c r="AD71" s="492"/>
      <c r="AE71" s="261"/>
      <c r="AF71" s="272"/>
      <c r="AG71" s="262"/>
      <c r="AH71" s="262"/>
      <c r="AI71" s="261"/>
      <c r="AJ71" s="273"/>
      <c r="AL71" s="49"/>
      <c r="AM71" s="49"/>
      <c r="AO71" s="50"/>
      <c r="AP71" s="50"/>
      <c r="AR71" s="50"/>
      <c r="AS71" s="50"/>
      <c r="AT71" s="50"/>
    </row>
    <row r="72" spans="1:57" ht="4.5" customHeight="1" x14ac:dyDescent="0.3">
      <c r="A72" s="376"/>
      <c r="B72" s="376"/>
      <c r="C72" s="305"/>
      <c r="D72" s="305"/>
      <c r="E72" s="305"/>
      <c r="F72" s="305"/>
      <c r="G72" s="349"/>
      <c r="H72" s="301"/>
      <c r="I72" s="301"/>
      <c r="J72" s="301"/>
      <c r="K72" s="261"/>
      <c r="L72" s="375"/>
      <c r="M72" s="375"/>
      <c r="N72" s="608"/>
      <c r="O72" s="25"/>
      <c r="P72" s="25"/>
      <c r="Q72" s="425"/>
      <c r="R72" s="1067"/>
      <c r="S72" s="642"/>
      <c r="T72" s="230"/>
      <c r="U72" s="230"/>
      <c r="V72" s="230"/>
      <c r="W72" s="230"/>
      <c r="X72" s="866"/>
      <c r="Y72" s="866"/>
      <c r="Z72" s="230"/>
      <c r="AA72" s="230"/>
      <c r="AB72" s="230"/>
      <c r="AD72" s="492"/>
      <c r="AE72" s="261"/>
      <c r="AF72" s="272"/>
      <c r="AG72" s="262"/>
      <c r="AH72" s="262"/>
      <c r="AI72" s="261"/>
      <c r="AJ72" s="273"/>
      <c r="AL72" s="9"/>
      <c r="AM72" s="9"/>
      <c r="AO72" s="159"/>
      <c r="AP72" s="159"/>
      <c r="AR72" s="48"/>
      <c r="AS72" s="48"/>
      <c r="AT72" s="48">
        <f t="shared" si="33"/>
        <v>0</v>
      </c>
    </row>
    <row r="73" spans="1:57" ht="21.75" customHeight="1" x14ac:dyDescent="0.3">
      <c r="A73" s="1201" t="s">
        <v>543</v>
      </c>
      <c r="B73" s="1201"/>
      <c r="C73" s="378"/>
      <c r="D73" s="378"/>
      <c r="E73" s="378"/>
      <c r="F73" s="227"/>
      <c r="G73" s="379"/>
      <c r="H73" s="227"/>
      <c r="J73" s="375"/>
      <c r="K73" s="1203" t="s">
        <v>539</v>
      </c>
      <c r="L73" s="345"/>
      <c r="M73" s="1204" t="s">
        <v>263</v>
      </c>
      <c r="N73" s="487">
        <v>0</v>
      </c>
      <c r="O73" s="25"/>
      <c r="P73" s="25"/>
      <c r="Q73" s="230"/>
      <c r="R73" s="642"/>
      <c r="S73" s="642"/>
      <c r="T73" s="230"/>
      <c r="U73" s="230"/>
      <c r="V73" s="230"/>
      <c r="W73" s="230"/>
      <c r="X73" s="866"/>
      <c r="Y73" s="866"/>
      <c r="Z73" s="230"/>
      <c r="AA73" s="230"/>
      <c r="AB73" s="230"/>
      <c r="AD73" s="505"/>
      <c r="AE73" s="506"/>
      <c r="AF73" s="507"/>
      <c r="AG73" s="508"/>
      <c r="AH73" s="508"/>
      <c r="AI73" s="297">
        <v>0</v>
      </c>
      <c r="AJ73" s="500"/>
      <c r="AO73" s="122">
        <v>0</v>
      </c>
      <c r="AP73" s="122">
        <v>0</v>
      </c>
      <c r="AR73" s="134"/>
      <c r="AS73" s="134"/>
      <c r="AT73" s="48">
        <f t="shared" si="33"/>
        <v>0</v>
      </c>
    </row>
    <row r="74" spans="1:57" ht="16.5" customHeight="1" thickBot="1" x14ac:dyDescent="0.3">
      <c r="A74" s="1196" t="s">
        <v>66</v>
      </c>
      <c r="B74" s="1196"/>
      <c r="C74" s="1169"/>
      <c r="D74" s="1169"/>
      <c r="E74" s="1169"/>
      <c r="F74" s="1169"/>
      <c r="G74" s="1169"/>
      <c r="H74" s="1169"/>
      <c r="I74" s="1169"/>
      <c r="J74" s="1169"/>
      <c r="K74" s="1169"/>
      <c r="L74" s="1169"/>
      <c r="M74" s="1172"/>
      <c r="N74" s="395">
        <f>SUM(H61:H66)+SUM(N61:N66)+SUM(N69:N71)+H73+N73</f>
        <v>0</v>
      </c>
      <c r="O74" s="175"/>
      <c r="P74" s="175"/>
      <c r="Q74" s="713"/>
      <c r="R74" s="1077"/>
      <c r="S74" s="1077"/>
      <c r="T74" s="713"/>
      <c r="U74" s="713"/>
      <c r="V74" s="713"/>
      <c r="W74" s="713"/>
      <c r="X74" s="713"/>
      <c r="Y74" s="713"/>
      <c r="Z74" s="713"/>
      <c r="AA74" s="713"/>
      <c r="AB74" s="713"/>
      <c r="AC74" s="713"/>
      <c r="AD74" s="713"/>
      <c r="AE74" s="713"/>
      <c r="AF74" s="265"/>
      <c r="AG74" s="230"/>
      <c r="AH74" s="230"/>
      <c r="AI74" s="265"/>
      <c r="AJ74" s="265"/>
      <c r="AL74" s="4" t="e">
        <f>SUM(AL62:AL71)</f>
        <v>#REF!</v>
      </c>
      <c r="AM74" s="4" t="e">
        <f>SUM(AM62:AM71)</f>
        <v>#REF!</v>
      </c>
      <c r="AO74" s="4">
        <f>SUM(AO62:AO71)</f>
        <v>0</v>
      </c>
      <c r="AP74" s="4">
        <f>SUM(AP62:AP71)</f>
        <v>0</v>
      </c>
      <c r="AR74" s="4" t="e">
        <f>SUM(AR62:AR71)</f>
        <v>#REF!</v>
      </c>
      <c r="AS74" s="4" t="e">
        <f>SUM(AS62:AS71)</f>
        <v>#REF!</v>
      </c>
      <c r="AT74" s="135" t="e">
        <f t="shared" si="33"/>
        <v>#REF!</v>
      </c>
    </row>
    <row r="75" spans="1:57" ht="16.5" customHeight="1" x14ac:dyDescent="0.25">
      <c r="A75" s="602"/>
      <c r="B75" s="1337"/>
      <c r="C75" s="226"/>
      <c r="D75" s="226"/>
      <c r="E75" s="226"/>
      <c r="F75" s="226"/>
      <c r="G75" s="301"/>
      <c r="H75" s="301"/>
      <c r="I75" s="301"/>
      <c r="J75" s="301"/>
      <c r="K75" s="301"/>
      <c r="L75" s="301"/>
      <c r="M75" s="301"/>
      <c r="N75" s="396"/>
      <c r="O75" s="180"/>
      <c r="P75" s="180"/>
      <c r="Q75" s="713"/>
      <c r="R75" s="1077"/>
      <c r="S75" s="1077"/>
      <c r="T75" s="713"/>
      <c r="U75" s="713"/>
      <c r="V75" s="713"/>
      <c r="W75" s="713"/>
      <c r="X75" s="713"/>
      <c r="Y75" s="713"/>
      <c r="Z75" s="713"/>
      <c r="AA75" s="713"/>
      <c r="AB75" s="713"/>
      <c r="AC75" s="713"/>
      <c r="AD75" s="713"/>
      <c r="AE75" s="713"/>
      <c r="AF75" s="265"/>
      <c r="AG75" s="230"/>
      <c r="AH75" s="230"/>
      <c r="AI75" s="265"/>
      <c r="AJ75" s="265"/>
      <c r="AR75" s="126"/>
      <c r="AS75" s="121"/>
    </row>
    <row r="76" spans="1:57" ht="16.5" customHeight="1" x14ac:dyDescent="0.25">
      <c r="A76" s="1187" t="s">
        <v>74</v>
      </c>
      <c r="B76" s="1187"/>
      <c r="C76" s="429"/>
      <c r="D76" s="429"/>
      <c r="E76" s="429"/>
      <c r="F76" s="429"/>
      <c r="G76" s="301"/>
      <c r="H76" s="301"/>
      <c r="I76" s="301"/>
      <c r="J76" s="301"/>
      <c r="K76" s="301"/>
      <c r="L76" s="301"/>
      <c r="M76" s="301"/>
      <c r="N76" s="397">
        <f>SUM(N26,N31,N36,N42,N46,N51,N59,N74)</f>
        <v>0</v>
      </c>
      <c r="O76" s="175"/>
      <c r="P76" s="175"/>
      <c r="Q76" s="713"/>
      <c r="R76" s="1077"/>
      <c r="S76" s="1077"/>
      <c r="T76" s="713"/>
      <c r="U76" s="713"/>
      <c r="V76" s="713"/>
      <c r="W76" s="713"/>
      <c r="X76" s="713"/>
      <c r="Y76" s="713"/>
      <c r="Z76" s="713"/>
      <c r="AA76" s="713"/>
      <c r="AB76" s="713"/>
      <c r="AC76" s="713"/>
      <c r="AD76" s="713"/>
      <c r="AE76" s="713"/>
      <c r="AF76" s="265"/>
      <c r="AG76" s="230"/>
      <c r="AH76" s="230"/>
      <c r="AI76" s="265"/>
      <c r="AJ76" s="265"/>
      <c r="AP76" s="126" t="s">
        <v>165</v>
      </c>
      <c r="AR76" s="121" t="e">
        <f>AR26+AR36+AR42+AR46+AR54+AR58+AR74</f>
        <v>#REF!</v>
      </c>
      <c r="AS76" s="121" t="e">
        <f>AS26+AS36+AS42+AS46+AS54+AS58+AS74</f>
        <v>#REF!</v>
      </c>
      <c r="AT76" s="121" t="e">
        <f>AT26+AT36+AT42+AT46+AT54+AT58+AT74</f>
        <v>#REF!</v>
      </c>
      <c r="AU76" s="509">
        <f>B96</f>
        <v>0</v>
      </c>
      <c r="AV76" s="509" t="e">
        <f>AU76-AT76</f>
        <v>#REF!</v>
      </c>
    </row>
    <row r="77" spans="1:57" ht="16.5" customHeight="1" x14ac:dyDescent="0.25">
      <c r="A77" s="428"/>
      <c r="B77" s="428"/>
      <c r="C77" s="429"/>
      <c r="D77" s="429"/>
      <c r="E77" s="429"/>
      <c r="F77" s="429"/>
      <c r="G77" s="301"/>
      <c r="H77" s="301"/>
      <c r="I77" s="301"/>
      <c r="J77" s="301"/>
      <c r="K77" s="301"/>
      <c r="L77" s="301"/>
      <c r="M77" s="301"/>
      <c r="N77" s="338"/>
      <c r="O77" s="180"/>
      <c r="P77" s="180"/>
      <c r="Q77" s="713"/>
      <c r="R77" s="1077"/>
      <c r="S77" s="1077"/>
      <c r="T77" s="713"/>
      <c r="U77" s="713"/>
      <c r="V77" s="713"/>
      <c r="W77" s="713"/>
      <c r="X77" s="713"/>
      <c r="Y77" s="713"/>
      <c r="Z77" s="713"/>
      <c r="AA77" s="713"/>
      <c r="AB77" s="713"/>
      <c r="AC77" s="713"/>
      <c r="AD77" s="713"/>
      <c r="AE77" s="713"/>
      <c r="AF77" s="265"/>
      <c r="AG77" s="230"/>
      <c r="AH77" s="230"/>
      <c r="AI77" s="265"/>
      <c r="AJ77" s="265"/>
      <c r="AP77" s="1" t="s">
        <v>179</v>
      </c>
      <c r="AR77" s="101">
        <f>L85</f>
        <v>0</v>
      </c>
      <c r="AS77" s="101">
        <f>L89</f>
        <v>0</v>
      </c>
      <c r="AT77" s="156" t="e">
        <f>(AR77*AR79)+(AS77*AS79)</f>
        <v>#REF!</v>
      </c>
    </row>
    <row r="78" spans="1:57" ht="16.5" customHeight="1" x14ac:dyDescent="0.25">
      <c r="A78" s="1187" t="s">
        <v>23</v>
      </c>
      <c r="B78" s="1187"/>
      <c r="C78" s="342"/>
      <c r="D78" s="342"/>
      <c r="E78" s="342"/>
      <c r="F78" s="342"/>
      <c r="G78" s="301"/>
      <c r="H78" s="301"/>
      <c r="I78" s="301"/>
      <c r="J78" s="301"/>
      <c r="K78" s="301"/>
      <c r="L78" s="301"/>
      <c r="M78" s="301"/>
      <c r="N78" s="338"/>
      <c r="O78" s="180"/>
      <c r="P78" s="180"/>
      <c r="Q78" s="713"/>
      <c r="R78" s="1077"/>
      <c r="S78" s="1077"/>
      <c r="T78" s="713"/>
      <c r="U78" s="713"/>
      <c r="V78" s="713"/>
      <c r="W78" s="713"/>
      <c r="X78" s="713"/>
      <c r="Y78" s="713"/>
      <c r="Z78" s="713"/>
      <c r="AA78" s="713"/>
      <c r="AB78" s="713"/>
      <c r="AC78" s="713"/>
      <c r="AD78" s="713"/>
      <c r="AE78" s="713"/>
      <c r="AF78" s="265"/>
      <c r="AG78" s="230"/>
      <c r="AH78" s="230"/>
      <c r="AI78" s="265"/>
      <c r="AJ78" s="265"/>
      <c r="AP78" s="126" t="s">
        <v>181</v>
      </c>
      <c r="AR78" s="121" t="e">
        <f>AR76*AR77</f>
        <v>#REF!</v>
      </c>
      <c r="AS78" s="121" t="e">
        <f>AS76*AS77</f>
        <v>#REF!</v>
      </c>
      <c r="AT78" s="128" t="e">
        <f>AR78+AS78</f>
        <v>#REF!</v>
      </c>
    </row>
    <row r="79" spans="1:57" ht="16.5" customHeight="1" x14ac:dyDescent="0.25">
      <c r="A79" s="1171" t="s">
        <v>26</v>
      </c>
      <c r="B79" s="1171"/>
      <c r="C79" s="342"/>
      <c r="D79" s="342"/>
      <c r="E79" s="342"/>
      <c r="F79" s="342"/>
      <c r="G79" s="301"/>
      <c r="H79" s="301"/>
      <c r="I79" s="301"/>
      <c r="J79" s="301"/>
      <c r="K79" s="301"/>
      <c r="L79" s="22">
        <f>N76-N59+L57</f>
        <v>0</v>
      </c>
      <c r="M79" s="22"/>
      <c r="N79" s="338"/>
      <c r="O79" s="180"/>
      <c r="P79" s="180"/>
      <c r="Q79" s="732"/>
      <c r="R79" s="1078"/>
      <c r="S79" s="1078"/>
      <c r="T79" s="732"/>
      <c r="U79" s="732"/>
      <c r="V79" s="732"/>
      <c r="W79" s="732"/>
      <c r="X79" s="732"/>
      <c r="Y79" s="732"/>
      <c r="Z79" s="732"/>
      <c r="AA79" s="732"/>
      <c r="AB79" s="732"/>
      <c r="AC79" s="732"/>
      <c r="AD79" s="732"/>
      <c r="AE79" s="732"/>
      <c r="AF79" s="510"/>
      <c r="AG79" s="326"/>
      <c r="AH79" s="326"/>
      <c r="AI79" s="510"/>
      <c r="AJ79" s="510"/>
      <c r="AK79" s="13"/>
      <c r="AL79" s="13"/>
      <c r="AP79" s="126" t="s">
        <v>183</v>
      </c>
      <c r="AR79" s="125" t="e">
        <f>AR76/AT76</f>
        <v>#REF!</v>
      </c>
      <c r="AS79" s="125" t="e">
        <f>AS76/AT76</f>
        <v>#REF!</v>
      </c>
      <c r="AT79" s="155" t="e">
        <f>AR79+AS79</f>
        <v>#REF!</v>
      </c>
      <c r="AU79" s="326"/>
      <c r="AV79" s="326"/>
      <c r="AW79" s="326"/>
      <c r="AX79" s="326"/>
      <c r="AY79" s="326"/>
      <c r="AZ79" s="326"/>
      <c r="BA79" s="326"/>
      <c r="BB79" s="326"/>
    </row>
    <row r="80" spans="1:57" ht="16.5" customHeight="1" thickBot="1" x14ac:dyDescent="0.3">
      <c r="A80" s="1171" t="s">
        <v>75</v>
      </c>
      <c r="B80" s="1171"/>
      <c r="C80" s="226"/>
      <c r="D80" s="226"/>
      <c r="E80" s="226"/>
      <c r="F80" s="226"/>
      <c r="G80" s="301"/>
      <c r="H80" s="301"/>
      <c r="I80" s="301"/>
      <c r="J80" s="301"/>
      <c r="K80" s="301"/>
      <c r="L80" s="22">
        <f>N76-M59</f>
        <v>0</v>
      </c>
      <c r="M80" s="22"/>
      <c r="N80" s="516"/>
      <c r="O80" s="58"/>
      <c r="P80" s="58"/>
      <c r="Q80" s="732"/>
      <c r="R80" s="1078"/>
      <c r="S80" s="1078"/>
      <c r="T80" s="732"/>
      <c r="U80" s="732"/>
      <c r="V80" s="732"/>
      <c r="W80" s="732"/>
      <c r="X80" s="732"/>
      <c r="Y80" s="732"/>
      <c r="Z80" s="732"/>
      <c r="AA80" s="732"/>
      <c r="AB80" s="732"/>
      <c r="AC80" s="732"/>
      <c r="AD80" s="732"/>
      <c r="AE80" s="732"/>
      <c r="AF80" s="510"/>
      <c r="AG80" s="326"/>
      <c r="AH80" s="326"/>
      <c r="AI80" s="510"/>
      <c r="AJ80" s="510"/>
      <c r="AK80" s="13"/>
      <c r="AL80" s="13"/>
      <c r="AO80" s="13"/>
      <c r="AP80" s="13"/>
      <c r="AQ80" s="13"/>
      <c r="AR80" s="13"/>
      <c r="AS80" s="13"/>
      <c r="AU80" s="326"/>
      <c r="AV80" s="326"/>
      <c r="AW80" s="326"/>
      <c r="AX80" s="326"/>
      <c r="AY80" s="326"/>
      <c r="AZ80" s="326"/>
      <c r="BA80" s="326"/>
      <c r="BB80" s="326"/>
    </row>
    <row r="81" spans="1:54" ht="16.5" customHeight="1" thickTop="1" thickBot="1" x14ac:dyDescent="0.3">
      <c r="A81" s="1193" t="s">
        <v>108</v>
      </c>
      <c r="B81" s="1193"/>
      <c r="C81" s="1142"/>
      <c r="D81" s="1142"/>
      <c r="E81" s="1142"/>
      <c r="F81" s="1142"/>
      <c r="G81" s="421"/>
      <c r="H81" s="421"/>
      <c r="I81" s="421"/>
      <c r="J81" s="421"/>
      <c r="K81" s="421"/>
      <c r="L81" s="421"/>
      <c r="M81" s="1176"/>
      <c r="N81" s="609">
        <v>0</v>
      </c>
      <c r="O81" s="175"/>
      <c r="P81" s="175"/>
      <c r="Q81" s="1025"/>
      <c r="R81" s="1080"/>
      <c r="S81" s="1078"/>
      <c r="T81" s="732"/>
      <c r="U81" s="732"/>
      <c r="V81" s="732"/>
      <c r="W81" s="732"/>
      <c r="X81" s="732"/>
      <c r="Y81" s="732"/>
      <c r="Z81" s="732"/>
      <c r="AA81" s="732"/>
      <c r="AB81" s="732"/>
      <c r="AC81" s="732"/>
      <c r="AD81" s="732"/>
      <c r="AE81" s="732"/>
      <c r="AF81" s="510"/>
      <c r="AG81" s="326"/>
      <c r="AH81" s="326"/>
      <c r="AI81" s="510"/>
      <c r="AJ81" s="510"/>
      <c r="AK81" s="13"/>
      <c r="AL81" s="13"/>
      <c r="AP81" s="126" t="s">
        <v>190</v>
      </c>
      <c r="AT81" s="121">
        <f>N76</f>
        <v>0</v>
      </c>
      <c r="AU81" s="326"/>
      <c r="AV81" s="326"/>
      <c r="AW81" s="326"/>
      <c r="AX81" s="326"/>
      <c r="AY81" s="326"/>
      <c r="AZ81" s="326"/>
      <c r="BA81" s="326"/>
      <c r="BB81" s="326"/>
    </row>
    <row r="82" spans="1:54" ht="16.5" customHeight="1" thickTop="1" x14ac:dyDescent="0.25">
      <c r="A82" s="602"/>
      <c r="B82" s="1337"/>
      <c r="C82" s="226"/>
      <c r="D82" s="226"/>
      <c r="E82" s="226"/>
      <c r="F82" s="226"/>
      <c r="G82" s="301"/>
      <c r="H82" s="301"/>
      <c r="I82" s="301"/>
      <c r="J82" s="301"/>
      <c r="K82" s="301"/>
      <c r="L82" s="301"/>
      <c r="M82" s="22"/>
      <c r="N82" s="110"/>
      <c r="O82" s="180"/>
      <c r="P82" s="180"/>
      <c r="Q82" s="732"/>
      <c r="R82" s="1078"/>
      <c r="S82" s="1078"/>
      <c r="T82" s="732"/>
      <c r="U82" s="732"/>
      <c r="V82" s="732"/>
      <c r="W82" s="732"/>
      <c r="X82" s="732"/>
      <c r="Y82" s="732"/>
      <c r="Z82" s="732"/>
      <c r="AA82" s="732"/>
      <c r="AB82" s="732"/>
      <c r="AC82" s="732"/>
      <c r="AD82" s="732"/>
      <c r="AE82" s="732"/>
      <c r="AF82" s="510"/>
      <c r="AG82" s="326"/>
      <c r="AH82" s="326"/>
      <c r="AI82" s="510"/>
      <c r="AJ82" s="510"/>
      <c r="AK82" s="13"/>
      <c r="AL82" s="13"/>
      <c r="AM82" s="13"/>
      <c r="AP82" s="126" t="s">
        <v>191</v>
      </c>
      <c r="AT82" s="121">
        <f>L80</f>
        <v>0</v>
      </c>
      <c r="AU82" s="326"/>
      <c r="AV82" s="326"/>
      <c r="AW82" s="326"/>
      <c r="AX82" s="326"/>
      <c r="AY82" s="326"/>
      <c r="AZ82" s="326"/>
      <c r="BA82" s="326"/>
      <c r="BB82" s="326"/>
    </row>
    <row r="83" spans="1:54" ht="24.75" hidden="1" customHeight="1" x14ac:dyDescent="0.25">
      <c r="A83" s="1114" t="s">
        <v>534</v>
      </c>
      <c r="B83" s="1371"/>
      <c r="C83" s="1135"/>
      <c r="D83" s="1135"/>
      <c r="E83" s="1135"/>
      <c r="F83" s="1135"/>
      <c r="G83" s="1136"/>
      <c r="H83" s="1136"/>
      <c r="I83" s="1136"/>
      <c r="J83" s="1136"/>
      <c r="K83" s="1136"/>
      <c r="L83" s="1137" t="s">
        <v>434</v>
      </c>
      <c r="M83" s="25"/>
      <c r="N83" s="43"/>
      <c r="O83" s="175"/>
      <c r="P83" s="175"/>
      <c r="Q83" s="713"/>
      <c r="R83" s="1077"/>
      <c r="S83" s="1077"/>
      <c r="T83" s="713"/>
      <c r="U83" s="713"/>
      <c r="V83" s="713"/>
      <c r="W83" s="713"/>
      <c r="X83" s="713"/>
      <c r="Y83" s="713"/>
      <c r="Z83" s="713"/>
      <c r="AA83" s="713"/>
      <c r="AB83" s="713"/>
      <c r="AC83" s="713"/>
      <c r="AD83" s="713"/>
      <c r="AE83" s="713"/>
      <c r="AF83" s="265"/>
      <c r="AG83" s="230"/>
      <c r="AH83" s="230"/>
      <c r="AI83" s="265"/>
      <c r="AJ83" s="265"/>
      <c r="AM83" s="13"/>
      <c r="AN83" s="13"/>
    </row>
    <row r="84" spans="1:54" ht="16.5" hidden="1" customHeight="1" thickBot="1" x14ac:dyDescent="0.3">
      <c r="A84" s="1118" t="s">
        <v>532</v>
      </c>
      <c r="B84" s="1342"/>
      <c r="C84" s="404"/>
      <c r="D84" s="404"/>
      <c r="E84" s="404"/>
      <c r="F84" s="404"/>
      <c r="G84" s="261"/>
      <c r="H84" s="261"/>
      <c r="I84" s="261"/>
      <c r="J84" s="261"/>
      <c r="K84" s="261"/>
      <c r="L84" s="1138" t="str">
        <f>IF(AND(G285="Yes",G287="Yes",L202="Yes"),AR100, IF(AND(G285="Yes", G287="No", L202="Yes"), AR76, " "))</f>
        <v xml:space="preserve"> </v>
      </c>
      <c r="M84" s="25"/>
      <c r="N84" s="43"/>
      <c r="O84" s="175"/>
      <c r="P84" s="175"/>
      <c r="Q84" s="713"/>
      <c r="R84" s="1077"/>
      <c r="S84" s="1077"/>
      <c r="T84" s="713"/>
      <c r="U84" s="713"/>
      <c r="V84" s="713"/>
      <c r="W84" s="713"/>
      <c r="X84" s="713"/>
      <c r="Y84" s="713"/>
      <c r="Z84" s="713"/>
      <c r="AA84" s="713"/>
      <c r="AB84" s="713"/>
      <c r="AC84" s="713"/>
      <c r="AD84" s="713"/>
      <c r="AE84" s="713"/>
      <c r="AF84" s="265"/>
      <c r="AG84" s="230"/>
      <c r="AH84" s="230"/>
      <c r="AI84" s="265"/>
      <c r="AJ84" s="265"/>
      <c r="AN84" s="13"/>
    </row>
    <row r="85" spans="1:54" ht="16.5" hidden="1" customHeight="1" thickTop="1" thickBot="1" x14ac:dyDescent="0.3">
      <c r="A85" s="1120" t="s">
        <v>188</v>
      </c>
      <c r="B85" s="1343"/>
      <c r="C85" s="404"/>
      <c r="D85" s="404"/>
      <c r="E85" s="404"/>
      <c r="F85" s="404"/>
      <c r="G85" s="261"/>
      <c r="H85" s="261"/>
      <c r="I85" s="261"/>
      <c r="J85" s="261"/>
      <c r="K85" s="261"/>
      <c r="L85" s="1139"/>
      <c r="M85" s="25"/>
      <c r="N85" s="43"/>
      <c r="O85" s="175"/>
      <c r="P85" s="175"/>
      <c r="Q85" s="713"/>
      <c r="R85" s="1077"/>
      <c r="S85" s="1077"/>
      <c r="T85" s="713"/>
      <c r="U85" s="713"/>
      <c r="V85" s="713"/>
      <c r="W85" s="713"/>
      <c r="X85" s="713"/>
      <c r="Y85" s="713"/>
      <c r="Z85" s="713"/>
      <c r="AA85" s="713"/>
      <c r="AB85" s="713"/>
      <c r="AC85" s="713"/>
      <c r="AD85" s="713"/>
      <c r="AE85" s="713"/>
      <c r="AF85" s="265"/>
      <c r="AG85" s="230"/>
      <c r="AH85" s="230"/>
      <c r="AI85" s="265"/>
      <c r="AJ85" s="265"/>
    </row>
    <row r="86" spans="1:54" ht="16.5" hidden="1" customHeight="1" thickTop="1" x14ac:dyDescent="0.25">
      <c r="A86" s="1118" t="s">
        <v>530</v>
      </c>
      <c r="B86" s="1342"/>
      <c r="C86" s="404"/>
      <c r="D86" s="404"/>
      <c r="E86" s="404"/>
      <c r="F86" s="404"/>
      <c r="G86" s="261"/>
      <c r="H86" s="261"/>
      <c r="I86" s="261"/>
      <c r="J86" s="261"/>
      <c r="K86" s="261"/>
      <c r="L86" s="1138" t="str">
        <f>IF(AND(G285="Yes",G287="Yes",L202="Yes"),AR102, IF(AND(G285="Yes", G287="No", L202="Yes"), AR78, " "))</f>
        <v xml:space="preserve"> </v>
      </c>
      <c r="M86" s="25"/>
      <c r="N86" s="43"/>
      <c r="O86" s="175"/>
      <c r="P86" s="175"/>
      <c r="Q86" s="713"/>
      <c r="R86" s="1077"/>
      <c r="S86" s="1077"/>
      <c r="T86" s="713"/>
      <c r="U86" s="713"/>
      <c r="V86" s="713"/>
      <c r="W86" s="713"/>
      <c r="X86" s="713"/>
      <c r="Y86" s="713"/>
      <c r="Z86" s="713"/>
      <c r="AA86" s="713"/>
      <c r="AB86" s="713"/>
      <c r="AC86" s="713"/>
      <c r="AD86" s="713"/>
      <c r="AE86" s="713"/>
      <c r="AF86" s="265"/>
      <c r="AG86" s="230"/>
      <c r="AH86" s="230"/>
      <c r="AI86" s="265"/>
      <c r="AJ86" s="265"/>
    </row>
    <row r="87" spans="1:54" ht="8.25" hidden="1" customHeight="1" x14ac:dyDescent="0.3">
      <c r="A87" s="1122"/>
      <c r="B87" s="1344"/>
      <c r="C87" s="404"/>
      <c r="D87" s="404"/>
      <c r="E87" s="404"/>
      <c r="F87" s="404"/>
      <c r="G87" s="261"/>
      <c r="H87" s="261"/>
      <c r="I87" s="406"/>
      <c r="J87" s="406"/>
      <c r="K87" s="407"/>
      <c r="L87" s="1140"/>
      <c r="M87" s="25"/>
      <c r="N87" s="43"/>
      <c r="O87" s="175"/>
      <c r="P87" s="175"/>
      <c r="Q87" s="713"/>
      <c r="R87" s="1077"/>
      <c r="S87" s="1077"/>
      <c r="T87" s="713"/>
      <c r="U87" s="713"/>
      <c r="V87" s="713"/>
      <c r="W87" s="713"/>
      <c r="X87" s="713"/>
      <c r="Y87" s="713"/>
      <c r="Z87" s="713"/>
      <c r="AA87" s="713"/>
      <c r="AB87" s="713"/>
      <c r="AC87" s="713"/>
      <c r="AD87" s="713"/>
      <c r="AE87" s="713"/>
      <c r="AF87" s="265"/>
      <c r="AG87" s="230"/>
      <c r="AH87" s="230"/>
      <c r="AI87" s="265"/>
      <c r="AJ87" s="265"/>
    </row>
    <row r="88" spans="1:54" ht="16.5" hidden="1" customHeight="1" thickBot="1" x14ac:dyDescent="0.3">
      <c r="A88" s="1118" t="s">
        <v>533</v>
      </c>
      <c r="B88" s="1342"/>
      <c r="C88" s="404"/>
      <c r="D88" s="404"/>
      <c r="E88" s="404"/>
      <c r="F88" s="404"/>
      <c r="G88" s="261"/>
      <c r="H88" s="261"/>
      <c r="I88" s="261"/>
      <c r="J88" s="261"/>
      <c r="K88" s="261"/>
      <c r="L88" s="1138" t="str">
        <f>IF(AND(G285="Yes",G287="Yes",L202="Yes"),AS100,IF(AND(G285="Yes",G287="No",L202="Yes"),AS76," "))</f>
        <v xml:space="preserve"> </v>
      </c>
      <c r="M88" s="25"/>
      <c r="N88" s="43"/>
      <c r="O88" s="175"/>
      <c r="P88" s="175"/>
      <c r="Q88" s="713"/>
      <c r="R88" s="1077"/>
      <c r="S88" s="1077"/>
      <c r="T88" s="713"/>
      <c r="U88" s="713"/>
      <c r="V88" s="713"/>
      <c r="W88" s="713"/>
      <c r="X88" s="713"/>
      <c r="Y88" s="713"/>
      <c r="Z88" s="713"/>
      <c r="AA88" s="713"/>
      <c r="AB88" s="713"/>
      <c r="AC88" s="713"/>
      <c r="AD88" s="713"/>
      <c r="AE88" s="713"/>
      <c r="AF88" s="265"/>
      <c r="AG88" s="230"/>
      <c r="AH88" s="230"/>
      <c r="AI88" s="265"/>
      <c r="AJ88" s="265"/>
    </row>
    <row r="89" spans="1:54" ht="16.5" hidden="1" customHeight="1" thickTop="1" thickBot="1" x14ac:dyDescent="0.3">
      <c r="A89" s="1120" t="s">
        <v>52</v>
      </c>
      <c r="B89" s="1343"/>
      <c r="C89" s="404"/>
      <c r="D89" s="404"/>
      <c r="E89" s="404"/>
      <c r="F89" s="404"/>
      <c r="G89" s="261"/>
      <c r="H89" s="261"/>
      <c r="I89" s="261"/>
      <c r="J89" s="261"/>
      <c r="K89" s="261"/>
      <c r="L89" s="1139"/>
      <c r="M89" s="25"/>
      <c r="N89" s="43"/>
      <c r="O89" s="175"/>
      <c r="P89" s="175"/>
      <c r="Q89" s="713"/>
      <c r="R89" s="1077"/>
      <c r="S89" s="1077"/>
      <c r="T89" s="713"/>
      <c r="U89" s="713"/>
      <c r="V89" s="713"/>
      <c r="W89" s="713"/>
      <c r="X89" s="713"/>
      <c r="Y89" s="713"/>
      <c r="Z89" s="713"/>
      <c r="AA89" s="713"/>
      <c r="AB89" s="713"/>
      <c r="AC89" s="713"/>
      <c r="AD89" s="713"/>
      <c r="AE89" s="713"/>
      <c r="AF89" s="265"/>
      <c r="AG89" s="230"/>
      <c r="AH89" s="230"/>
      <c r="AI89" s="265"/>
      <c r="AJ89" s="265"/>
    </row>
    <row r="90" spans="1:54" ht="16.5" hidden="1" customHeight="1" thickTop="1" x14ac:dyDescent="0.25">
      <c r="A90" s="1141" t="s">
        <v>531</v>
      </c>
      <c r="B90" s="1372"/>
      <c r="C90" s="1142"/>
      <c r="D90" s="1142"/>
      <c r="E90" s="1142"/>
      <c r="F90" s="1142"/>
      <c r="G90" s="421"/>
      <c r="H90" s="421"/>
      <c r="I90" s="421"/>
      <c r="J90" s="421"/>
      <c r="K90" s="421"/>
      <c r="L90" s="1143" t="str">
        <f>IF(AND(G285="Yes",G287="Yes",L202="Yes"),AS102,IF(AND(G285="Yes",G287="No",L202="Yes"),AS78," "))</f>
        <v xml:space="preserve"> </v>
      </c>
      <c r="M90" s="22"/>
      <c r="N90" s="43"/>
      <c r="O90" s="175"/>
      <c r="P90" s="175"/>
      <c r="Q90" s="713"/>
      <c r="R90" s="1077"/>
      <c r="S90" s="1077"/>
      <c r="T90" s="713"/>
      <c r="U90" s="713"/>
      <c r="V90" s="713"/>
      <c r="W90" s="713"/>
      <c r="X90" s="713"/>
      <c r="Y90" s="713"/>
      <c r="Z90" s="713"/>
      <c r="AA90" s="713"/>
      <c r="AB90" s="713"/>
      <c r="AC90" s="713"/>
      <c r="AD90" s="713"/>
      <c r="AE90" s="713"/>
      <c r="AF90" s="265"/>
      <c r="AG90" s="230"/>
      <c r="AH90" s="230"/>
      <c r="AI90" s="265"/>
      <c r="AJ90" s="265"/>
    </row>
    <row r="91" spans="1:54" ht="5.25" hidden="1" customHeight="1" x14ac:dyDescent="0.3">
      <c r="C91" s="39"/>
      <c r="D91" s="39"/>
      <c r="E91" s="39"/>
      <c r="F91" s="39"/>
      <c r="G91" s="22"/>
      <c r="H91" s="22"/>
      <c r="I91" s="167"/>
      <c r="J91" s="167"/>
      <c r="K91" s="168"/>
      <c r="L91" s="434"/>
      <c r="M91" s="22"/>
      <c r="N91" s="43"/>
      <c r="O91" s="175"/>
      <c r="P91" s="175"/>
      <c r="Q91" s="713"/>
      <c r="R91" s="1077"/>
      <c r="S91" s="1077"/>
      <c r="T91" s="713"/>
      <c r="U91" s="713"/>
      <c r="V91" s="713"/>
      <c r="W91" s="713"/>
      <c r="X91" s="713"/>
      <c r="Y91" s="713"/>
      <c r="Z91" s="713"/>
      <c r="AA91" s="713"/>
      <c r="AB91" s="713"/>
      <c r="AC91" s="713"/>
      <c r="AD91" s="713"/>
      <c r="AE91" s="713"/>
      <c r="AF91" s="265"/>
      <c r="AG91" s="230"/>
      <c r="AH91" s="230"/>
      <c r="AI91" s="265"/>
      <c r="AJ91" s="265"/>
    </row>
    <row r="92" spans="1:54" ht="16.5" hidden="1" customHeight="1" x14ac:dyDescent="0.25">
      <c r="A92" s="403"/>
      <c r="B92" s="403"/>
      <c r="C92" s="412" t="str">
        <f>IF(L202="Yes", "Combined F&amp;A Rate", " ")</f>
        <v xml:space="preserve"> </v>
      </c>
      <c r="D92" s="412"/>
      <c r="E92" s="412"/>
      <c r="F92" s="412"/>
      <c r="G92" s="413" t="str">
        <f>IF(L202="Yes", AT77, " ")</f>
        <v xml:space="preserve"> </v>
      </c>
      <c r="H92" s="230"/>
      <c r="I92" s="410" t="str">
        <f>IF(L202="Yes", "Amount of Base Subtotal", " ")</f>
        <v xml:space="preserve"> </v>
      </c>
      <c r="J92" s="410"/>
      <c r="K92" s="614" t="str">
        <f>IF(L202="Yes", L84+L88, " ")</f>
        <v xml:space="preserve"> </v>
      </c>
      <c r="L92" s="435"/>
      <c r="M92" s="22"/>
      <c r="N92" s="43"/>
      <c r="O92" s="175"/>
      <c r="P92" s="175"/>
      <c r="Q92" s="713"/>
      <c r="R92" s="1077"/>
      <c r="S92" s="1077"/>
      <c r="T92" s="713"/>
      <c r="U92" s="713"/>
      <c r="V92" s="713"/>
      <c r="W92" s="713"/>
      <c r="X92" s="713"/>
      <c r="Y92" s="713"/>
      <c r="Z92" s="713"/>
      <c r="AA92" s="713"/>
      <c r="AB92" s="713"/>
      <c r="AC92" s="713"/>
      <c r="AD92" s="713"/>
      <c r="AE92" s="713"/>
      <c r="AF92" s="265"/>
      <c r="AG92" s="230"/>
      <c r="AH92" s="230"/>
      <c r="AI92" s="265"/>
      <c r="AJ92" s="265"/>
    </row>
    <row r="93" spans="1:54" ht="16.5" hidden="1" customHeight="1" thickBot="1" x14ac:dyDescent="0.3">
      <c r="A93" s="408" t="s">
        <v>156</v>
      </c>
      <c r="B93" s="1345"/>
      <c r="C93" s="409"/>
      <c r="D93" s="409"/>
      <c r="E93" s="409"/>
      <c r="F93" s="409"/>
      <c r="G93" s="375"/>
      <c r="H93" s="375"/>
      <c r="I93" s="375"/>
      <c r="J93" s="375"/>
      <c r="K93" s="375"/>
      <c r="L93" s="402" t="str">
        <f>IF(AND(G285="Yes",G287="Yes",L202="Yes"),L86+L90, IF(AND(G285="Yes", G287="No", L202="Yes"), L86+L90, " "))</f>
        <v xml:space="preserve"> </v>
      </c>
      <c r="M93" s="22"/>
      <c r="N93" s="43"/>
      <c r="O93" s="175"/>
      <c r="P93" s="175"/>
      <c r="Q93" s="713"/>
      <c r="R93" s="1077"/>
      <c r="S93" s="1077"/>
      <c r="T93" s="713"/>
      <c r="U93" s="713"/>
      <c r="V93" s="713"/>
      <c r="W93" s="713"/>
      <c r="X93" s="713"/>
      <c r="Y93" s="713"/>
      <c r="Z93" s="713"/>
      <c r="AA93" s="713"/>
      <c r="AB93" s="713"/>
      <c r="AC93" s="713"/>
      <c r="AD93" s="713"/>
      <c r="AE93" s="713"/>
      <c r="AF93" s="265"/>
      <c r="AG93" s="230"/>
      <c r="AH93" s="230"/>
      <c r="AI93" s="265"/>
      <c r="AJ93" s="265"/>
      <c r="AP93" s="127" t="s">
        <v>193</v>
      </c>
      <c r="AT93" s="121">
        <f>N81</f>
        <v>0</v>
      </c>
    </row>
    <row r="94" spans="1:54" ht="16.5" hidden="1" customHeight="1" x14ac:dyDescent="0.25">
      <c r="A94" s="602"/>
      <c r="B94" s="1337"/>
      <c r="C94" s="226"/>
      <c r="D94" s="226"/>
      <c r="E94" s="226"/>
      <c r="F94" s="226"/>
      <c r="G94" s="262"/>
      <c r="H94" s="262"/>
      <c r="I94" s="262"/>
      <c r="J94" s="262"/>
      <c r="K94" s="415"/>
      <c r="L94" s="301"/>
      <c r="M94" s="22"/>
      <c r="N94" s="44"/>
      <c r="O94" s="174"/>
      <c r="P94" s="174"/>
      <c r="Q94" s="713"/>
      <c r="R94" s="1077"/>
      <c r="S94" s="1077"/>
      <c r="T94" s="713"/>
      <c r="U94" s="713"/>
      <c r="V94" s="713"/>
      <c r="W94" s="713"/>
      <c r="X94" s="713"/>
      <c r="Y94" s="713"/>
      <c r="Z94" s="713"/>
      <c r="AA94" s="713"/>
      <c r="AB94" s="713"/>
      <c r="AC94" s="713"/>
      <c r="AD94" s="713"/>
      <c r="AE94" s="713"/>
      <c r="AF94" s="265"/>
      <c r="AG94" s="230"/>
      <c r="AH94" s="230"/>
      <c r="AI94" s="265"/>
      <c r="AJ94" s="265"/>
      <c r="AO94" s="13"/>
      <c r="AP94" s="127" t="s">
        <v>192</v>
      </c>
      <c r="AQ94" s="13"/>
      <c r="AR94" s="14"/>
      <c r="AS94" s="4"/>
      <c r="AT94" s="128">
        <f>AT82</f>
        <v>0</v>
      </c>
    </row>
    <row r="95" spans="1:54" ht="16.5" customHeight="1" thickBot="1" x14ac:dyDescent="0.3">
      <c r="A95" s="1187" t="s">
        <v>49</v>
      </c>
      <c r="B95" s="1187"/>
      <c r="C95" s="342"/>
      <c r="D95" s="342"/>
      <c r="E95" s="342"/>
      <c r="F95" s="342"/>
      <c r="G95" s="301"/>
      <c r="H95" s="301"/>
      <c r="I95" s="301"/>
      <c r="J95" s="301"/>
      <c r="K95" s="301"/>
      <c r="L95" s="301"/>
      <c r="M95" s="22"/>
      <c r="N95" s="42"/>
      <c r="O95" s="180"/>
      <c r="P95" s="180"/>
      <c r="Q95" s="732"/>
      <c r="R95" s="1078"/>
      <c r="S95" s="1078"/>
      <c r="T95" s="732"/>
      <c r="U95" s="732"/>
      <c r="V95" s="732"/>
      <c r="W95" s="732"/>
      <c r="X95" s="732"/>
      <c r="Y95" s="732"/>
      <c r="Z95" s="732"/>
      <c r="AA95" s="732"/>
      <c r="AB95" s="732"/>
      <c r="AC95" s="732"/>
      <c r="AD95" s="732"/>
      <c r="AE95" s="732"/>
      <c r="AF95" s="510"/>
      <c r="AG95" s="326"/>
      <c r="AH95" s="326"/>
      <c r="AI95" s="510"/>
      <c r="AJ95" s="510"/>
      <c r="AK95" s="13"/>
      <c r="AL95" s="13"/>
      <c r="AM95" s="13"/>
      <c r="AN95" s="13"/>
      <c r="AO95" s="13"/>
      <c r="AP95" s="127" t="s">
        <v>163</v>
      </c>
      <c r="AQ95" s="13"/>
      <c r="AR95" s="13"/>
      <c r="AT95" s="158">
        <f>IF(AT94&gt;AT93, 0, AT93-AT94)</f>
        <v>0</v>
      </c>
      <c r="AU95" s="326"/>
      <c r="AV95" s="326"/>
      <c r="AW95" s="326"/>
      <c r="AX95" s="326"/>
      <c r="AY95" s="326"/>
      <c r="AZ95" s="326"/>
      <c r="BA95" s="326"/>
      <c r="BB95" s="326"/>
    </row>
    <row r="96" spans="1:54" ht="16.5" customHeight="1" thickTop="1" thickBot="1" x14ac:dyDescent="0.3">
      <c r="A96" s="1171" t="s">
        <v>24</v>
      </c>
      <c r="B96" s="46">
        <f>IF(AND(G285="Yes",G287="Yes"),N81-L59-F73-N71-N51-N31+N185+N128,IF(AND(G285="Yes",G287="No"),L80-L59-F73-N71-N51-N31+N185+N128, N76-N235-N236-N237))</f>
        <v>0</v>
      </c>
      <c r="C96" s="226"/>
      <c r="D96" s="226"/>
      <c r="E96" s="226"/>
      <c r="F96" s="226"/>
      <c r="G96" s="1171" t="s">
        <v>52</v>
      </c>
      <c r="H96" s="1095">
        <v>0.69</v>
      </c>
      <c r="I96" s="301"/>
      <c r="J96" s="301"/>
      <c r="K96" s="301"/>
      <c r="M96" s="1202" t="s">
        <v>48</v>
      </c>
      <c r="N96" s="108">
        <f>IF(L202="No", B96*H96, " ")</f>
        <v>0</v>
      </c>
      <c r="O96" s="180"/>
      <c r="P96" s="180"/>
      <c r="Q96" s="1025"/>
      <c r="R96" s="1080"/>
      <c r="S96" s="1078"/>
      <c r="T96" s="732"/>
      <c r="U96" s="732"/>
      <c r="V96" s="732"/>
      <c r="W96" s="732"/>
      <c r="X96" s="732"/>
      <c r="Y96" s="732"/>
      <c r="Z96" s="732"/>
      <c r="AA96" s="732"/>
      <c r="AB96" s="732"/>
      <c r="AC96" s="732"/>
      <c r="AD96" s="732"/>
      <c r="AE96" s="732"/>
      <c r="AF96" s="510"/>
      <c r="AG96" s="326"/>
      <c r="AH96" s="326"/>
      <c r="AI96" s="510"/>
      <c r="AJ96" s="510"/>
      <c r="AK96" s="13"/>
      <c r="AL96" s="13"/>
      <c r="AM96" s="13"/>
      <c r="AN96" s="13"/>
      <c r="AP96" s="126" t="s">
        <v>164</v>
      </c>
      <c r="AR96" s="125" t="e">
        <f>AR76/AT76</f>
        <v>#REF!</v>
      </c>
      <c r="AS96" s="125" t="e">
        <f>AS76/AT76</f>
        <v>#REF!</v>
      </c>
      <c r="AT96" s="152" t="e">
        <f>AR96+AS96</f>
        <v>#REF!</v>
      </c>
      <c r="AU96" s="326"/>
      <c r="AV96" s="326"/>
      <c r="AW96" s="326"/>
      <c r="AX96" s="326"/>
      <c r="AY96" s="326"/>
      <c r="AZ96" s="326"/>
      <c r="BA96" s="326"/>
      <c r="BB96" s="326"/>
    </row>
    <row r="97" spans="1:72" ht="16.5" customHeight="1" thickTop="1" thickBot="1" x14ac:dyDescent="0.3">
      <c r="B97" s="1171"/>
      <c r="C97" s="226"/>
      <c r="D97" s="226"/>
      <c r="E97" s="226"/>
      <c r="F97" s="226"/>
      <c r="G97" s="301"/>
      <c r="H97" s="301"/>
      <c r="I97" s="301"/>
      <c r="J97" s="301"/>
      <c r="K97" s="301"/>
      <c r="M97" s="47"/>
      <c r="N97" s="109"/>
      <c r="O97" s="174"/>
      <c r="P97" s="174"/>
      <c r="Q97" s="732"/>
      <c r="R97" s="1078"/>
      <c r="S97" s="1078"/>
      <c r="T97" s="732"/>
      <c r="U97" s="732"/>
      <c r="V97" s="732"/>
      <c r="W97" s="732"/>
      <c r="X97" s="732"/>
      <c r="Y97" s="732"/>
      <c r="Z97" s="732"/>
      <c r="AA97" s="732"/>
      <c r="AB97" s="732"/>
      <c r="AC97" s="732"/>
      <c r="AD97" s="732"/>
      <c r="AE97" s="732"/>
      <c r="AF97" s="510"/>
      <c r="AG97" s="326"/>
      <c r="AH97" s="326"/>
      <c r="AI97" s="510"/>
      <c r="AJ97" s="510"/>
      <c r="AK97" s="13"/>
      <c r="AL97" s="13"/>
      <c r="AM97" s="13"/>
      <c r="AN97" s="13"/>
      <c r="AT97" s="13"/>
      <c r="AU97" s="326"/>
      <c r="AV97" s="326"/>
      <c r="AW97" s="326"/>
      <c r="AX97" s="326"/>
      <c r="AY97" s="326"/>
      <c r="AZ97" s="326"/>
      <c r="BA97" s="326"/>
      <c r="BB97" s="326"/>
    </row>
    <row r="98" spans="1:72" ht="16.5" hidden="1" customHeight="1" x14ac:dyDescent="0.25">
      <c r="A98" s="602"/>
      <c r="B98" s="1337"/>
      <c r="C98" s="226"/>
      <c r="D98" s="226"/>
      <c r="E98" s="226"/>
      <c r="F98" s="226"/>
      <c r="G98" s="262"/>
      <c r="H98" s="262"/>
      <c r="I98" s="262"/>
      <c r="J98" s="262"/>
      <c r="K98" s="415"/>
      <c r="L98" s="301"/>
      <c r="M98" s="301"/>
      <c r="N98" s="44"/>
      <c r="O98" s="174"/>
      <c r="P98" s="174"/>
      <c r="Q98" s="713"/>
      <c r="R98" s="1077"/>
      <c r="S98" s="1077"/>
      <c r="T98" s="713"/>
      <c r="U98" s="713"/>
      <c r="V98" s="713"/>
      <c r="W98" s="713"/>
      <c r="X98" s="713"/>
      <c r="Y98" s="713"/>
      <c r="Z98" s="713"/>
      <c r="AA98" s="713"/>
      <c r="AB98" s="713"/>
      <c r="AC98" s="713"/>
      <c r="AD98" s="713"/>
      <c r="AE98" s="713"/>
      <c r="AF98" s="265"/>
      <c r="AG98" s="230"/>
      <c r="AH98" s="230"/>
      <c r="AI98" s="265"/>
      <c r="AJ98" s="265"/>
      <c r="AP98" s="126" t="s">
        <v>180</v>
      </c>
      <c r="AR98" s="4" t="e">
        <f>#REF!*#REF!</f>
        <v>#REF!</v>
      </c>
      <c r="AS98" s="4" t="e">
        <f>#REF!*#REF!</f>
        <v>#REF!</v>
      </c>
      <c r="AT98" s="129" t="e">
        <f>#REF!*#REF!</f>
        <v>#REF!</v>
      </c>
    </row>
    <row r="99" spans="1:72" ht="16.5" hidden="1" customHeight="1" x14ac:dyDescent="0.25">
      <c r="A99" s="602"/>
      <c r="B99" s="1337"/>
      <c r="C99" s="226"/>
      <c r="D99" s="226"/>
      <c r="E99" s="226"/>
      <c r="F99" s="226"/>
      <c r="G99" s="262"/>
      <c r="H99" s="262"/>
      <c r="I99" s="262"/>
      <c r="J99" s="262"/>
      <c r="K99" s="415"/>
      <c r="L99" s="301"/>
      <c r="M99" s="301"/>
      <c r="N99" s="44"/>
      <c r="O99" s="174"/>
      <c r="P99" s="174"/>
      <c r="Q99" s="713"/>
      <c r="R99" s="1077"/>
      <c r="S99" s="1077"/>
      <c r="T99" s="713"/>
      <c r="U99" s="713"/>
      <c r="V99" s="713"/>
      <c r="W99" s="713"/>
      <c r="X99" s="713"/>
      <c r="Y99" s="713"/>
      <c r="Z99" s="713"/>
      <c r="AA99" s="713"/>
      <c r="AB99" s="713"/>
      <c r="AC99" s="713"/>
      <c r="AD99" s="713"/>
      <c r="AE99" s="713"/>
      <c r="AF99" s="265"/>
      <c r="AG99" s="230"/>
      <c r="AH99" s="230"/>
      <c r="AI99" s="265"/>
      <c r="AJ99" s="265"/>
    </row>
    <row r="100" spans="1:72" ht="16.5" customHeight="1" x14ac:dyDescent="0.25">
      <c r="A100" s="1202" t="s">
        <v>18</v>
      </c>
      <c r="B100" s="1335"/>
      <c r="C100" s="418"/>
      <c r="D100" s="418"/>
      <c r="E100" s="418"/>
      <c r="F100" s="418"/>
      <c r="G100" s="419"/>
      <c r="H100" s="419"/>
      <c r="I100" s="419"/>
      <c r="J100" s="419"/>
      <c r="K100" s="420"/>
      <c r="L100" s="421"/>
      <c r="M100" s="421"/>
      <c r="N100" s="107">
        <f>IF(AND(G285="Yes",G287="Yes",L202="No"),N81+M59+N96,IF(AND(G285="Yes",G287="No",L202="No"),N76+N96,IF(AND(G285="Yes",G287="Yes",L202="Yes"),N81+M59+L93,IF(AND(G285="Yes",G287="No",L202="Yes"),N76+L93,IF(AND(G285="No", G287="No", L202="No"),N76+N96, N76+N96)))))</f>
        <v>0</v>
      </c>
      <c r="O100" s="175"/>
      <c r="P100" s="175"/>
      <c r="Q100" s="713"/>
      <c r="R100" s="1077"/>
      <c r="S100" s="1077"/>
      <c r="T100" s="713"/>
      <c r="U100" s="713"/>
      <c r="V100" s="713"/>
      <c r="W100" s="713"/>
      <c r="X100" s="713"/>
      <c r="Y100" s="713"/>
      <c r="Z100" s="713"/>
      <c r="AA100" s="713"/>
      <c r="AB100" s="713"/>
      <c r="AC100" s="713"/>
      <c r="AD100" s="713"/>
      <c r="AE100" s="713"/>
      <c r="AF100" s="265"/>
      <c r="AG100" s="230"/>
      <c r="AH100" s="230"/>
      <c r="AI100" s="265"/>
      <c r="AJ100" s="265"/>
      <c r="AP100" s="126" t="s">
        <v>184</v>
      </c>
      <c r="AR100" s="4" t="e">
        <f>AR76+#REF!</f>
        <v>#REF!</v>
      </c>
      <c r="AS100" s="4" t="e">
        <f>AS76+#REF!</f>
        <v>#REF!</v>
      </c>
      <c r="AT100" s="4" t="e">
        <f>AR100+AS100</f>
        <v>#REF!</v>
      </c>
    </row>
    <row r="101" spans="1:72" ht="16.5" customHeight="1" x14ac:dyDescent="0.25">
      <c r="A101" s="617"/>
      <c r="B101" s="617"/>
      <c r="C101" s="618"/>
      <c r="D101" s="618"/>
      <c r="E101" s="618"/>
      <c r="F101" s="618"/>
      <c r="G101" s="230"/>
      <c r="H101" s="230"/>
      <c r="I101" s="230"/>
      <c r="J101" s="866"/>
      <c r="K101" s="230"/>
      <c r="L101" s="619"/>
      <c r="M101" s="619"/>
      <c r="N101" s="620"/>
      <c r="O101" s="185"/>
      <c r="P101" s="185"/>
      <c r="Q101" s="230"/>
      <c r="R101" s="642"/>
      <c r="S101" s="642"/>
      <c r="T101" s="230"/>
      <c r="U101" s="230"/>
      <c r="V101" s="230"/>
      <c r="W101" s="230"/>
      <c r="X101" s="866"/>
      <c r="Y101" s="866"/>
      <c r="Z101" s="230"/>
      <c r="AA101" s="230"/>
      <c r="AB101" s="230"/>
      <c r="AD101" s="230"/>
      <c r="AE101" s="265"/>
      <c r="AF101" s="265"/>
      <c r="AG101" s="230"/>
      <c r="AH101" s="230"/>
      <c r="AI101" s="265"/>
      <c r="AJ101" s="265"/>
      <c r="AP101" s="1" t="s">
        <v>179</v>
      </c>
      <c r="AR101" s="101">
        <f>L85</f>
        <v>0</v>
      </c>
      <c r="AS101" s="101">
        <f>L89</f>
        <v>0</v>
      </c>
      <c r="AT101" s="154" t="e">
        <f>#REF!</f>
        <v>#REF!</v>
      </c>
    </row>
    <row r="102" spans="1:72" ht="14.4" thickBot="1" x14ac:dyDescent="0.3">
      <c r="A102" s="621"/>
      <c r="B102" s="843"/>
      <c r="C102" s="622"/>
      <c r="D102" s="844"/>
      <c r="E102" s="844"/>
      <c r="F102" s="844"/>
      <c r="G102" s="623"/>
      <c r="H102" s="623"/>
      <c r="I102" s="623"/>
      <c r="J102" s="845"/>
      <c r="K102" s="623"/>
      <c r="L102" s="623"/>
      <c r="M102" s="623"/>
      <c r="N102" s="623"/>
      <c r="O102" s="186"/>
      <c r="P102" s="186"/>
      <c r="Q102" s="230"/>
      <c r="R102" s="642"/>
      <c r="S102" s="642"/>
      <c r="T102" s="230"/>
      <c r="U102" s="230"/>
      <c r="V102" s="230"/>
      <c r="W102" s="230"/>
      <c r="X102" s="866"/>
      <c r="Y102" s="866"/>
      <c r="Z102" s="230"/>
      <c r="AA102" s="230"/>
      <c r="AB102" s="230"/>
      <c r="AD102" s="230"/>
      <c r="AE102" s="265"/>
      <c r="AF102" s="265"/>
      <c r="AG102" s="230"/>
      <c r="AH102" s="230"/>
      <c r="AI102" s="265"/>
      <c r="AJ102" s="265"/>
      <c r="AP102" s="153" t="s">
        <v>182</v>
      </c>
      <c r="AQ102" s="169"/>
      <c r="AR102" s="121" t="e">
        <f>AR78+AR98</f>
        <v>#REF!</v>
      </c>
      <c r="AS102" s="121" t="e">
        <f>AS78+AS98</f>
        <v>#REF!</v>
      </c>
      <c r="AT102" s="121" t="e">
        <f>AR102+AS102</f>
        <v>#REF!</v>
      </c>
    </row>
    <row r="103" spans="1:72" x14ac:dyDescent="0.25">
      <c r="A103" s="863" t="s">
        <v>441</v>
      </c>
      <c r="B103" s="863"/>
      <c r="C103" s="624"/>
      <c r="D103" s="864"/>
      <c r="E103" s="864"/>
      <c r="F103" s="864"/>
      <c r="G103" s="625"/>
      <c r="H103" s="625"/>
      <c r="I103" s="625"/>
      <c r="J103" s="865"/>
      <c r="K103" s="625"/>
      <c r="L103" s="625"/>
      <c r="M103" s="625"/>
      <c r="N103" s="625"/>
      <c r="O103" s="186"/>
      <c r="P103" s="186"/>
      <c r="Q103" s="230"/>
      <c r="R103" s="642"/>
      <c r="S103" s="642"/>
      <c r="T103" s="230"/>
      <c r="U103" s="230"/>
      <c r="V103" s="230"/>
      <c r="W103" s="230"/>
      <c r="X103" s="866"/>
      <c r="Y103" s="866"/>
      <c r="Z103" s="230"/>
      <c r="AA103" s="230"/>
      <c r="AB103" s="230"/>
      <c r="AD103" s="230"/>
      <c r="AE103" s="265"/>
      <c r="AF103" s="265"/>
      <c r="AG103" s="230"/>
      <c r="AH103" s="230"/>
      <c r="AI103" s="265"/>
      <c r="AJ103" s="265"/>
      <c r="AR103" s="129" t="e">
        <f>AR100*AR101</f>
        <v>#REF!</v>
      </c>
      <c r="AS103" s="129" t="e">
        <f>AS100*AS101</f>
        <v>#REF!</v>
      </c>
      <c r="AT103" s="129" t="e">
        <f>AT100*#REF!</f>
        <v>#REF!</v>
      </c>
    </row>
    <row r="104" spans="1:72" ht="25.5" customHeight="1" thickBot="1" x14ac:dyDescent="0.4">
      <c r="A104" s="832" t="s">
        <v>430</v>
      </c>
      <c r="B104" s="832"/>
      <c r="C104" s="453"/>
      <c r="D104" s="453"/>
      <c r="E104" s="453"/>
      <c r="F104" s="453"/>
      <c r="G104" s="328"/>
      <c r="H104" s="328"/>
      <c r="I104" s="328"/>
      <c r="J104" s="328"/>
      <c r="K104" s="328"/>
      <c r="L104" s="328"/>
      <c r="M104" s="328"/>
      <c r="N104" s="443"/>
      <c r="O104" s="90"/>
      <c r="P104" s="90"/>
      <c r="Q104" s="230"/>
      <c r="R104" s="642"/>
      <c r="S104" s="642"/>
      <c r="T104" s="230"/>
      <c r="U104" s="230"/>
      <c r="V104" s="230"/>
      <c r="W104" s="230"/>
      <c r="X104" s="866"/>
      <c r="Y104" s="866"/>
      <c r="Z104" s="230"/>
      <c r="AA104" s="230"/>
      <c r="AB104" s="230"/>
      <c r="AD104" s="230"/>
      <c r="AE104" s="265"/>
      <c r="AF104" s="265"/>
      <c r="AG104" s="230"/>
      <c r="AH104" s="230"/>
      <c r="AI104" s="265"/>
      <c r="AJ104" s="265"/>
      <c r="AP104" s="126" t="s">
        <v>183</v>
      </c>
      <c r="AR104" s="125" t="e">
        <f>AR100/AT100</f>
        <v>#REF!</v>
      </c>
      <c r="AS104" s="125" t="e">
        <f>AS100/AT100</f>
        <v>#REF!</v>
      </c>
      <c r="AT104" s="154" t="e">
        <f>AR104+AS104</f>
        <v>#REF!</v>
      </c>
    </row>
    <row r="105" spans="1:72" s="15" customFormat="1" ht="15" customHeight="1" thickTop="1" thickBot="1" x14ac:dyDescent="0.3">
      <c r="A105" s="1226" t="s">
        <v>423</v>
      </c>
      <c r="B105" s="1226"/>
      <c r="C105" s="319"/>
      <c r="D105" s="319"/>
      <c r="E105" s="319"/>
      <c r="F105" s="319"/>
      <c r="G105" s="320"/>
      <c r="H105" s="320"/>
      <c r="I105" s="320"/>
      <c r="J105" s="320"/>
      <c r="K105" s="320"/>
      <c r="L105" s="321" t="s">
        <v>60</v>
      </c>
      <c r="M105" s="320"/>
      <c r="N105" s="1225" t="s">
        <v>272</v>
      </c>
      <c r="O105" s="190"/>
      <c r="P105" s="190"/>
      <c r="Q105" s="326"/>
      <c r="R105" s="640"/>
      <c r="S105" s="640"/>
      <c r="T105" s="326"/>
      <c r="U105" s="326"/>
      <c r="V105" s="326"/>
      <c r="W105" s="326"/>
      <c r="X105" s="326"/>
      <c r="Y105" s="326"/>
      <c r="Z105" s="326"/>
      <c r="AA105" s="326"/>
      <c r="AB105" s="326"/>
      <c r="AC105" s="326"/>
      <c r="AD105" s="326"/>
      <c r="AE105" s="510"/>
      <c r="AF105" s="510"/>
      <c r="AG105" s="326"/>
      <c r="AH105" s="326"/>
      <c r="AI105" s="510"/>
      <c r="AJ105" s="510"/>
      <c r="AK105" s="13"/>
      <c r="AL105" s="13"/>
      <c r="AM105" s="13"/>
      <c r="AN105" s="13"/>
      <c r="AO105" s="13"/>
      <c r="AP105" s="13"/>
      <c r="AQ105" s="13"/>
      <c r="AR105" s="13"/>
      <c r="AS105" s="13"/>
      <c r="AT105" s="13"/>
      <c r="AU105" s="326"/>
      <c r="AV105" s="326"/>
      <c r="AW105" s="326"/>
      <c r="AX105" s="326"/>
      <c r="AY105" s="326"/>
      <c r="AZ105" s="326"/>
      <c r="BA105" s="326"/>
      <c r="BB105" s="326"/>
      <c r="BC105" s="326"/>
      <c r="BD105" s="326"/>
      <c r="BE105" s="326"/>
      <c r="BF105" s="13"/>
      <c r="BG105" s="13"/>
      <c r="BH105" s="13"/>
      <c r="BI105" s="13"/>
      <c r="BJ105" s="13"/>
      <c r="BK105" s="13"/>
      <c r="BL105" s="13"/>
      <c r="BM105" s="13"/>
      <c r="BN105" s="13"/>
      <c r="BO105" s="13"/>
      <c r="BP105" s="13"/>
      <c r="BQ105" s="13"/>
      <c r="BR105" s="13"/>
      <c r="BS105" s="13"/>
      <c r="BT105" s="13"/>
    </row>
    <row r="106" spans="1:72" ht="16.5" customHeight="1" thickTop="1" x14ac:dyDescent="0.25">
      <c r="A106" s="1093" t="s">
        <v>129</v>
      </c>
      <c r="B106" s="1093"/>
      <c r="C106" s="438"/>
      <c r="D106" s="438"/>
      <c r="E106" s="438"/>
      <c r="F106" s="438"/>
      <c r="G106" s="438"/>
      <c r="H106" s="438"/>
      <c r="I106" s="438"/>
      <c r="J106" s="439"/>
      <c r="K106" s="439"/>
      <c r="L106" s="438"/>
      <c r="M106" s="438"/>
      <c r="N106" s="320"/>
      <c r="O106" s="23"/>
      <c r="P106" s="23"/>
      <c r="Q106" s="326"/>
      <c r="R106" s="640"/>
      <c r="S106" s="640"/>
      <c r="T106" s="326"/>
      <c r="U106" s="326"/>
      <c r="V106" s="326"/>
      <c r="W106" s="326"/>
      <c r="X106" s="326"/>
      <c r="Y106" s="326"/>
      <c r="Z106" s="326"/>
      <c r="AA106" s="326"/>
      <c r="AB106" s="326"/>
      <c r="AC106" s="326"/>
      <c r="AD106" s="326"/>
      <c r="AE106" s="510"/>
      <c r="AF106" s="510"/>
      <c r="AG106" s="326"/>
      <c r="AH106" s="326"/>
      <c r="AI106" s="510"/>
      <c r="AJ106" s="510"/>
      <c r="AK106" s="13"/>
      <c r="AL106" s="13"/>
      <c r="AM106" s="13"/>
      <c r="AN106" s="13"/>
      <c r="AO106" s="13"/>
      <c r="AP106" s="13"/>
      <c r="AQ106" s="13"/>
      <c r="AR106" s="13"/>
      <c r="AS106" s="13"/>
      <c r="AT106" s="13"/>
      <c r="AU106" s="326"/>
      <c r="AV106" s="326"/>
      <c r="AW106" s="326"/>
      <c r="AX106" s="326"/>
      <c r="AY106" s="326"/>
      <c r="AZ106" s="326"/>
      <c r="BA106" s="326"/>
      <c r="BB106" s="326"/>
      <c r="BC106" s="326"/>
      <c r="BD106" s="326"/>
      <c r="BE106" s="326"/>
      <c r="BF106" s="13"/>
      <c r="BG106" s="13"/>
      <c r="BH106" s="13"/>
      <c r="BI106" s="13"/>
      <c r="BJ106" s="13"/>
      <c r="BK106" s="13"/>
      <c r="BL106" s="13"/>
      <c r="BM106" s="13"/>
      <c r="BN106" s="13"/>
      <c r="BO106" s="13"/>
      <c r="BP106" s="13"/>
      <c r="BQ106" s="13"/>
      <c r="BR106" s="13"/>
      <c r="BS106" s="13"/>
      <c r="BT106" s="13"/>
    </row>
    <row r="107" spans="1:72" ht="16.5" customHeight="1" thickBot="1" x14ac:dyDescent="0.3">
      <c r="A107" s="1093" t="s">
        <v>196</v>
      </c>
      <c r="B107" s="1093"/>
      <c r="C107" s="438"/>
      <c r="D107" s="438"/>
      <c r="E107" s="438"/>
      <c r="F107" s="438"/>
      <c r="G107" s="438"/>
      <c r="H107" s="438"/>
      <c r="I107" s="438"/>
      <c r="J107" s="439"/>
      <c r="K107" s="439"/>
      <c r="L107" s="438"/>
      <c r="M107" s="438"/>
      <c r="N107" s="320"/>
      <c r="O107" s="23"/>
      <c r="P107" s="23"/>
      <c r="Q107" s="326"/>
      <c r="R107" s="640"/>
      <c r="S107" s="640"/>
      <c r="T107" s="326"/>
      <c r="U107" s="326"/>
      <c r="V107" s="326"/>
      <c r="W107" s="326"/>
      <c r="X107" s="326"/>
      <c r="Y107" s="326"/>
      <c r="Z107" s="326"/>
      <c r="AA107" s="326"/>
      <c r="AB107" s="326"/>
      <c r="AC107" s="326"/>
      <c r="AD107" s="326"/>
      <c r="AE107" s="510"/>
      <c r="AF107" s="510"/>
      <c r="AG107" s="326"/>
      <c r="AH107" s="326"/>
      <c r="AI107" s="510"/>
      <c r="AJ107" s="510"/>
      <c r="AK107" s="13"/>
      <c r="AL107" s="13"/>
      <c r="AM107" s="13"/>
      <c r="AN107" s="13"/>
      <c r="AO107" s="13"/>
      <c r="AP107" s="13"/>
      <c r="AQ107" s="13"/>
      <c r="AR107" s="13"/>
      <c r="AS107" s="13"/>
      <c r="AT107" s="13"/>
      <c r="AU107" s="326"/>
      <c r="AV107" s="326"/>
      <c r="AW107" s="326"/>
      <c r="AX107" s="326"/>
      <c r="AY107" s="326"/>
      <c r="AZ107" s="326"/>
      <c r="BA107" s="326"/>
      <c r="BB107" s="326"/>
      <c r="BC107" s="326"/>
      <c r="BD107" s="326"/>
      <c r="BE107" s="326"/>
      <c r="BF107" s="13"/>
      <c r="BG107" s="13"/>
      <c r="BH107" s="13"/>
      <c r="BI107" s="13"/>
      <c r="BJ107" s="13"/>
      <c r="BK107" s="13"/>
      <c r="BL107" s="13"/>
      <c r="BM107" s="13"/>
      <c r="BN107" s="13"/>
      <c r="BO107" s="13"/>
      <c r="BP107" s="13"/>
      <c r="BQ107" s="13"/>
      <c r="BR107" s="13"/>
      <c r="BS107" s="13"/>
      <c r="BT107" s="13"/>
    </row>
    <row r="108" spans="1:72" ht="16.5" hidden="1" customHeight="1" x14ac:dyDescent="0.25">
      <c r="A108" s="540"/>
      <c r="B108" s="874"/>
      <c r="C108" s="540"/>
      <c r="D108" s="874"/>
      <c r="E108" s="874"/>
      <c r="F108" s="874"/>
      <c r="G108" s="540"/>
      <c r="H108" s="540"/>
      <c r="I108" s="540"/>
      <c r="J108" s="672"/>
      <c r="K108" s="672"/>
      <c r="L108" s="81" t="s">
        <v>194</v>
      </c>
      <c r="M108" s="561"/>
      <c r="N108" s="561"/>
      <c r="O108" s="23"/>
      <c r="P108" s="23"/>
      <c r="Q108" s="326"/>
      <c r="R108" s="640"/>
      <c r="S108" s="640"/>
      <c r="T108" s="326"/>
      <c r="U108" s="326"/>
      <c r="V108" s="326"/>
      <c r="W108" s="326"/>
      <c r="X108" s="326"/>
      <c r="Y108" s="326"/>
      <c r="Z108" s="326"/>
      <c r="AA108" s="326"/>
      <c r="AB108" s="326"/>
      <c r="AC108" s="326"/>
      <c r="AD108" s="326"/>
      <c r="AE108" s="510"/>
      <c r="AF108" s="510"/>
      <c r="AG108" s="326"/>
      <c r="AH108" s="326"/>
      <c r="AI108" s="510"/>
      <c r="AJ108" s="510"/>
      <c r="AK108" s="13"/>
      <c r="AL108" s="13"/>
      <c r="AM108" s="13"/>
      <c r="AN108" s="13"/>
      <c r="AO108" s="13"/>
      <c r="AP108" s="13"/>
      <c r="AQ108" s="13"/>
      <c r="AR108" s="13"/>
      <c r="AS108" s="13"/>
      <c r="AT108" s="13"/>
      <c r="AU108" s="326"/>
      <c r="AV108" s="326"/>
      <c r="AW108" s="326"/>
      <c r="AX108" s="326"/>
      <c r="AY108" s="326"/>
      <c r="AZ108" s="326"/>
      <c r="BA108" s="326"/>
      <c r="BB108" s="326"/>
      <c r="BC108" s="326"/>
      <c r="BD108" s="326"/>
      <c r="BE108" s="326"/>
      <c r="BF108" s="13"/>
      <c r="BG108" s="13"/>
      <c r="BH108" s="13"/>
      <c r="BI108" s="13"/>
      <c r="BJ108" s="13"/>
      <c r="BK108" s="13"/>
      <c r="BL108" s="13"/>
      <c r="BM108" s="13"/>
      <c r="BN108" s="13"/>
      <c r="BO108" s="13"/>
      <c r="BP108" s="13"/>
      <c r="BQ108" s="13"/>
      <c r="BR108" s="13"/>
      <c r="BS108" s="13"/>
      <c r="BT108" s="13"/>
    </row>
    <row r="109" spans="1:72" ht="16.5" hidden="1" customHeight="1" x14ac:dyDescent="0.25">
      <c r="A109" s="540"/>
      <c r="B109" s="874"/>
      <c r="C109" s="540"/>
      <c r="D109" s="874"/>
      <c r="E109" s="874"/>
      <c r="F109" s="874"/>
      <c r="G109" s="540"/>
      <c r="H109" s="540"/>
      <c r="I109" s="540"/>
      <c r="J109" s="672"/>
      <c r="K109" s="672"/>
      <c r="L109" s="164"/>
      <c r="M109" s="561"/>
      <c r="N109" s="561"/>
      <c r="O109" s="23"/>
      <c r="P109" s="23"/>
      <c r="Q109" s="326"/>
      <c r="R109" s="640"/>
      <c r="S109" s="640"/>
      <c r="T109" s="326"/>
      <c r="U109" s="326"/>
      <c r="V109" s="326"/>
      <c r="W109" s="326"/>
      <c r="X109" s="326"/>
      <c r="Y109" s="326"/>
      <c r="Z109" s="326"/>
      <c r="AA109" s="326"/>
      <c r="AB109" s="326"/>
      <c r="AC109" s="326"/>
      <c r="AD109" s="326"/>
      <c r="AE109" s="510"/>
      <c r="AF109" s="510"/>
      <c r="AG109" s="326"/>
      <c r="AH109" s="326"/>
      <c r="AI109" s="510"/>
      <c r="AJ109" s="510"/>
      <c r="AK109" s="13"/>
      <c r="AL109" s="13"/>
      <c r="AM109" s="13"/>
      <c r="AN109" s="13"/>
      <c r="AO109" s="13"/>
      <c r="AP109" s="13"/>
      <c r="AQ109" s="13"/>
      <c r="AR109" s="13"/>
      <c r="AS109" s="13"/>
      <c r="AT109" s="13"/>
      <c r="AU109" s="326"/>
      <c r="AV109" s="326"/>
      <c r="AW109" s="326"/>
      <c r="AX109" s="326"/>
      <c r="AY109" s="326"/>
      <c r="AZ109" s="326"/>
      <c r="BA109" s="326"/>
      <c r="BB109" s="326"/>
      <c r="BC109" s="326"/>
      <c r="BD109" s="326"/>
      <c r="BE109" s="326"/>
      <c r="BF109" s="13"/>
      <c r="BG109" s="13"/>
      <c r="BH109" s="13"/>
      <c r="BI109" s="13"/>
      <c r="BJ109" s="13"/>
      <c r="BK109" s="13"/>
      <c r="BL109" s="13"/>
      <c r="BM109" s="13"/>
      <c r="BN109" s="13"/>
      <c r="BO109" s="13"/>
      <c r="BP109" s="13"/>
      <c r="BQ109" s="13"/>
      <c r="BR109" s="13"/>
      <c r="BS109" s="13"/>
      <c r="BT109" s="13"/>
    </row>
    <row r="110" spans="1:72" ht="16.5" hidden="1" customHeight="1" x14ac:dyDescent="0.25">
      <c r="A110" s="540"/>
      <c r="B110" s="874"/>
      <c r="C110" s="540"/>
      <c r="D110" s="874"/>
      <c r="E110" s="874"/>
      <c r="F110" s="874"/>
      <c r="G110" s="540"/>
      <c r="H110" s="540"/>
      <c r="I110" s="540"/>
      <c r="J110" s="672"/>
      <c r="K110" s="672"/>
      <c r="L110" s="164">
        <v>75000</v>
      </c>
      <c r="M110" s="561"/>
      <c r="N110" s="561"/>
      <c r="O110" s="23"/>
      <c r="P110" s="23"/>
      <c r="Q110" s="326"/>
      <c r="R110" s="640"/>
      <c r="S110" s="640"/>
      <c r="T110" s="326"/>
      <c r="U110" s="326"/>
      <c r="V110" s="326"/>
      <c r="W110" s="326"/>
      <c r="X110" s="326"/>
      <c r="Y110" s="326"/>
      <c r="Z110" s="326"/>
      <c r="AA110" s="326"/>
      <c r="AB110" s="326"/>
      <c r="AC110" s="326"/>
      <c r="AD110" s="326"/>
      <c r="AE110" s="510"/>
      <c r="AF110" s="510"/>
      <c r="AG110" s="326"/>
      <c r="AH110" s="326"/>
      <c r="AI110" s="510"/>
      <c r="AJ110" s="510"/>
      <c r="AK110" s="13"/>
      <c r="AL110" s="13"/>
      <c r="AM110" s="13"/>
      <c r="AN110" s="13"/>
      <c r="AO110" s="13"/>
      <c r="AP110" s="13"/>
      <c r="AQ110" s="13"/>
      <c r="AR110" s="13"/>
      <c r="AS110" s="13"/>
      <c r="AT110" s="13"/>
      <c r="AU110" s="326"/>
      <c r="AV110" s="326"/>
      <c r="AW110" s="326"/>
      <c r="AX110" s="326"/>
      <c r="AY110" s="326"/>
      <c r="AZ110" s="326"/>
      <c r="BA110" s="326"/>
      <c r="BB110" s="326"/>
      <c r="BC110" s="326"/>
      <c r="BD110" s="326"/>
      <c r="BE110" s="326"/>
      <c r="BF110" s="13"/>
      <c r="BG110" s="13"/>
      <c r="BH110" s="13"/>
      <c r="BI110" s="13"/>
      <c r="BJ110" s="13"/>
      <c r="BK110" s="13"/>
      <c r="BL110" s="13"/>
      <c r="BM110" s="13"/>
      <c r="BN110" s="13"/>
      <c r="BO110" s="13"/>
      <c r="BP110" s="13"/>
      <c r="BQ110" s="13"/>
      <c r="BR110" s="13"/>
      <c r="BS110" s="13"/>
      <c r="BT110" s="13"/>
    </row>
    <row r="111" spans="1:72" ht="16.5" hidden="1" customHeight="1" x14ac:dyDescent="0.25">
      <c r="A111" s="540"/>
      <c r="B111" s="874"/>
      <c r="C111" s="540"/>
      <c r="D111" s="874"/>
      <c r="E111" s="874"/>
      <c r="F111" s="874"/>
      <c r="G111" s="540"/>
      <c r="H111" s="540"/>
      <c r="I111" s="540"/>
      <c r="J111" s="672"/>
      <c r="K111" s="672"/>
      <c r="L111" s="164">
        <v>90000</v>
      </c>
      <c r="M111" s="561"/>
      <c r="N111" s="561"/>
      <c r="O111" s="23"/>
      <c r="P111" s="23"/>
      <c r="Q111" s="326"/>
      <c r="R111" s="640"/>
      <c r="S111" s="640"/>
      <c r="T111" s="326"/>
      <c r="U111" s="326"/>
      <c r="V111" s="326"/>
      <c r="W111" s="326"/>
      <c r="X111" s="326"/>
      <c r="Y111" s="326"/>
      <c r="Z111" s="326"/>
      <c r="AA111" s="326"/>
      <c r="AB111" s="326"/>
      <c r="AC111" s="326"/>
      <c r="AD111" s="326"/>
      <c r="AE111" s="510"/>
      <c r="AF111" s="510"/>
      <c r="AG111" s="326"/>
      <c r="AH111" s="326"/>
      <c r="AI111" s="510"/>
      <c r="AJ111" s="510"/>
      <c r="AK111" s="13"/>
      <c r="AL111" s="13"/>
      <c r="AM111" s="13"/>
      <c r="AN111" s="13"/>
      <c r="AO111" s="13"/>
      <c r="AP111" s="13"/>
      <c r="AQ111" s="13"/>
      <c r="AR111" s="13"/>
      <c r="AS111" s="13"/>
      <c r="AT111" s="13"/>
      <c r="AU111" s="326"/>
      <c r="AV111" s="326"/>
      <c r="AW111" s="326"/>
      <c r="AX111" s="326"/>
      <c r="AY111" s="326"/>
      <c r="AZ111" s="326"/>
      <c r="BA111" s="326"/>
      <c r="BB111" s="326"/>
      <c r="BC111" s="326"/>
      <c r="BD111" s="326"/>
      <c r="BE111" s="326"/>
      <c r="BF111" s="13"/>
      <c r="BG111" s="13"/>
      <c r="BH111" s="13"/>
      <c r="BI111" s="13"/>
      <c r="BJ111" s="13"/>
      <c r="BK111" s="13"/>
      <c r="BL111" s="13"/>
      <c r="BM111" s="13"/>
      <c r="BN111" s="13"/>
      <c r="BO111" s="13"/>
      <c r="BP111" s="13"/>
      <c r="BQ111" s="13"/>
      <c r="BR111" s="13"/>
      <c r="BS111" s="13"/>
      <c r="BT111" s="13"/>
    </row>
    <row r="112" spans="1:72" ht="16.5" hidden="1" customHeight="1" x14ac:dyDescent="0.25">
      <c r="A112" s="540"/>
      <c r="B112" s="874"/>
      <c r="C112" s="540"/>
      <c r="D112" s="874"/>
      <c r="E112" s="874"/>
      <c r="F112" s="874"/>
      <c r="G112" s="540"/>
      <c r="H112" s="540"/>
      <c r="I112" s="540"/>
      <c r="J112" s="672"/>
      <c r="K112" s="672"/>
      <c r="L112" s="164">
        <v>95000</v>
      </c>
      <c r="M112" s="561"/>
      <c r="N112" s="561"/>
      <c r="O112" s="23"/>
      <c r="P112" s="23"/>
      <c r="Q112" s="326"/>
      <c r="R112" s="640"/>
      <c r="S112" s="640"/>
      <c r="T112" s="326"/>
      <c r="U112" s="326"/>
      <c r="V112" s="326"/>
      <c r="W112" s="326"/>
      <c r="X112" s="326"/>
      <c r="Y112" s="326"/>
      <c r="Z112" s="326"/>
      <c r="AA112" s="326"/>
      <c r="AB112" s="326"/>
      <c r="AC112" s="326"/>
      <c r="AD112" s="326"/>
      <c r="AE112" s="510"/>
      <c r="AF112" s="510"/>
      <c r="AG112" s="326"/>
      <c r="AH112" s="326"/>
      <c r="AI112" s="510"/>
      <c r="AJ112" s="510"/>
      <c r="AK112" s="13"/>
      <c r="AL112" s="13"/>
      <c r="AM112" s="13"/>
      <c r="AN112" s="13"/>
      <c r="AO112" s="13"/>
      <c r="AP112" s="13"/>
      <c r="AQ112" s="13"/>
      <c r="AR112" s="13"/>
      <c r="AS112" s="13"/>
      <c r="AT112" s="13"/>
      <c r="AU112" s="326"/>
      <c r="AV112" s="326"/>
      <c r="AW112" s="326"/>
      <c r="AX112" s="326"/>
      <c r="AY112" s="326"/>
      <c r="AZ112" s="326"/>
      <c r="BA112" s="326"/>
      <c r="BB112" s="326"/>
      <c r="BC112" s="326"/>
      <c r="BD112" s="326"/>
      <c r="BE112" s="326"/>
      <c r="BF112" s="13"/>
      <c r="BG112" s="13"/>
      <c r="BH112" s="13"/>
      <c r="BI112" s="13"/>
      <c r="BJ112" s="13"/>
      <c r="BK112" s="13"/>
      <c r="BL112" s="13"/>
      <c r="BM112" s="13"/>
      <c r="BN112" s="13"/>
      <c r="BO112" s="13"/>
      <c r="BP112" s="13"/>
      <c r="BQ112" s="13"/>
      <c r="BR112" s="13"/>
      <c r="BS112" s="13"/>
      <c r="BT112" s="13"/>
    </row>
    <row r="113" spans="1:72" ht="16.5" hidden="1" customHeight="1" x14ac:dyDescent="0.25">
      <c r="A113" s="540"/>
      <c r="B113" s="874"/>
      <c r="C113" s="540"/>
      <c r="D113" s="874"/>
      <c r="E113" s="874"/>
      <c r="F113" s="874"/>
      <c r="G113" s="540"/>
      <c r="H113" s="540"/>
      <c r="I113" s="540"/>
      <c r="J113" s="672"/>
      <c r="K113" s="672"/>
      <c r="L113" s="164">
        <v>100000</v>
      </c>
      <c r="M113" s="561"/>
      <c r="N113" s="561"/>
      <c r="O113" s="23"/>
      <c r="P113" s="23"/>
      <c r="Q113" s="326"/>
      <c r="R113" s="640"/>
      <c r="S113" s="640"/>
      <c r="T113" s="326"/>
      <c r="U113" s="326"/>
      <c r="V113" s="326"/>
      <c r="W113" s="326"/>
      <c r="X113" s="326"/>
      <c r="Y113" s="326"/>
      <c r="Z113" s="326"/>
      <c r="AA113" s="326"/>
      <c r="AB113" s="326"/>
      <c r="AC113" s="326"/>
      <c r="AD113" s="326"/>
      <c r="AE113" s="510"/>
      <c r="AF113" s="510"/>
      <c r="AG113" s="326"/>
      <c r="AH113" s="326"/>
      <c r="AI113" s="510"/>
      <c r="AJ113" s="510"/>
      <c r="AK113" s="13"/>
      <c r="AL113" s="13"/>
      <c r="AM113" s="13"/>
      <c r="AN113" s="13"/>
      <c r="AO113" s="13"/>
      <c r="AP113" s="13"/>
      <c r="AQ113" s="13"/>
      <c r="AR113" s="13"/>
      <c r="AS113" s="13"/>
      <c r="AT113" s="13"/>
      <c r="AU113" s="326"/>
      <c r="AV113" s="326"/>
      <c r="AW113" s="326"/>
      <c r="AX113" s="326"/>
      <c r="AY113" s="326"/>
      <c r="AZ113" s="326"/>
      <c r="BA113" s="326"/>
      <c r="BB113" s="326"/>
      <c r="BC113" s="326"/>
      <c r="BD113" s="326"/>
      <c r="BE113" s="326"/>
      <c r="BF113" s="13"/>
      <c r="BG113" s="13"/>
      <c r="BH113" s="13"/>
      <c r="BI113" s="13"/>
      <c r="BJ113" s="13"/>
      <c r="BK113" s="13"/>
      <c r="BL113" s="13"/>
      <c r="BM113" s="13"/>
      <c r="BN113" s="13"/>
      <c r="BO113" s="13"/>
      <c r="BP113" s="13"/>
      <c r="BQ113" s="13"/>
      <c r="BR113" s="13"/>
      <c r="BS113" s="13"/>
      <c r="BT113" s="13"/>
    </row>
    <row r="114" spans="1:72" s="867" customFormat="1" ht="16.5" hidden="1" customHeight="1" x14ac:dyDescent="0.25">
      <c r="A114" s="874"/>
      <c r="B114" s="874"/>
      <c r="C114" s="874"/>
      <c r="D114" s="874"/>
      <c r="E114" s="874"/>
      <c r="F114" s="874"/>
      <c r="G114" s="874"/>
      <c r="H114" s="874"/>
      <c r="I114" s="874"/>
      <c r="J114" s="672"/>
      <c r="K114" s="672"/>
      <c r="L114" s="164">
        <v>185100</v>
      </c>
      <c r="M114" s="561"/>
      <c r="N114" s="561"/>
      <c r="O114" s="23"/>
      <c r="P114" s="23"/>
      <c r="Q114" s="326"/>
      <c r="R114" s="640"/>
      <c r="S114" s="640"/>
      <c r="T114" s="326"/>
      <c r="U114" s="326"/>
      <c r="V114" s="326"/>
      <c r="W114" s="326"/>
      <c r="X114" s="326"/>
      <c r="Y114" s="326"/>
      <c r="Z114" s="326"/>
      <c r="AA114" s="326"/>
      <c r="AB114" s="326"/>
      <c r="AC114" s="326"/>
      <c r="AD114" s="326"/>
      <c r="AE114" s="510"/>
      <c r="AF114" s="510"/>
      <c r="AG114" s="326"/>
      <c r="AH114" s="326"/>
      <c r="AI114" s="510"/>
      <c r="AJ114" s="510"/>
      <c r="AK114" s="13"/>
      <c r="AL114" s="13"/>
      <c r="AM114" s="13"/>
      <c r="AN114" s="13"/>
      <c r="AO114" s="13"/>
      <c r="AP114" s="13"/>
      <c r="AQ114" s="13"/>
      <c r="AR114" s="13"/>
      <c r="AS114" s="13"/>
      <c r="AT114" s="13"/>
      <c r="AU114" s="326"/>
      <c r="AV114" s="326"/>
      <c r="AW114" s="326"/>
      <c r="AX114" s="326"/>
      <c r="AY114" s="326"/>
      <c r="AZ114" s="326"/>
      <c r="BA114" s="326"/>
      <c r="BB114" s="326"/>
      <c r="BC114" s="326"/>
      <c r="BD114" s="326"/>
      <c r="BE114" s="326"/>
      <c r="BF114" s="13"/>
      <c r="BG114" s="13"/>
      <c r="BH114" s="13"/>
      <c r="BI114" s="13"/>
      <c r="BJ114" s="13"/>
      <c r="BK114" s="13"/>
      <c r="BL114" s="13"/>
      <c r="BM114" s="13"/>
      <c r="BN114" s="13"/>
      <c r="BO114" s="13"/>
      <c r="BP114" s="13"/>
      <c r="BQ114" s="13"/>
      <c r="BR114" s="13"/>
      <c r="BS114" s="13"/>
      <c r="BT114" s="13"/>
    </row>
    <row r="115" spans="1:72" s="867" customFormat="1" ht="16.5" hidden="1" customHeight="1" x14ac:dyDescent="0.25">
      <c r="A115" s="874"/>
      <c r="B115" s="874"/>
      <c r="C115" s="874"/>
      <c r="D115" s="874"/>
      <c r="E115" s="874"/>
      <c r="F115" s="874"/>
      <c r="G115" s="874"/>
      <c r="H115" s="874"/>
      <c r="I115" s="874"/>
      <c r="J115" s="672"/>
      <c r="K115" s="672"/>
      <c r="L115" s="164">
        <v>187000</v>
      </c>
      <c r="M115" s="561"/>
      <c r="N115" s="561"/>
      <c r="O115" s="23"/>
      <c r="P115" s="23"/>
      <c r="Q115" s="326"/>
      <c r="R115" s="640"/>
      <c r="S115" s="640"/>
      <c r="T115" s="326"/>
      <c r="U115" s="326"/>
      <c r="V115" s="326"/>
      <c r="W115" s="326"/>
      <c r="X115" s="326"/>
      <c r="Y115" s="326"/>
      <c r="Z115" s="326"/>
      <c r="AA115" s="326"/>
      <c r="AB115" s="326"/>
      <c r="AC115" s="326"/>
      <c r="AD115" s="326"/>
      <c r="AE115" s="510"/>
      <c r="AF115" s="510"/>
      <c r="AG115" s="326"/>
      <c r="AH115" s="326"/>
      <c r="AI115" s="510"/>
      <c r="AJ115" s="510"/>
      <c r="AK115" s="13"/>
      <c r="AL115" s="13"/>
      <c r="AM115" s="13"/>
      <c r="AN115" s="13"/>
      <c r="AO115" s="13"/>
      <c r="AP115" s="13"/>
      <c r="AQ115" s="13"/>
      <c r="AR115" s="13"/>
      <c r="AS115" s="13"/>
      <c r="AT115" s="13"/>
      <c r="AU115" s="326"/>
      <c r="AV115" s="326"/>
      <c r="AW115" s="326"/>
      <c r="AX115" s="326"/>
      <c r="AY115" s="326"/>
      <c r="AZ115" s="326"/>
      <c r="BA115" s="326"/>
      <c r="BB115" s="326"/>
      <c r="BC115" s="326"/>
      <c r="BD115" s="326"/>
      <c r="BE115" s="326"/>
      <c r="BF115" s="13"/>
      <c r="BG115" s="13"/>
      <c r="BH115" s="13"/>
      <c r="BI115" s="13"/>
      <c r="BJ115" s="13"/>
      <c r="BK115" s="13"/>
      <c r="BL115" s="13"/>
      <c r="BM115" s="13"/>
      <c r="BN115" s="13"/>
      <c r="BO115" s="13"/>
      <c r="BP115" s="13"/>
      <c r="BQ115" s="13"/>
      <c r="BR115" s="13"/>
      <c r="BS115" s="13"/>
      <c r="BT115" s="13"/>
    </row>
    <row r="116" spans="1:72" s="867" customFormat="1" ht="16.5" hidden="1" customHeight="1" x14ac:dyDescent="0.25">
      <c r="A116" s="874"/>
      <c r="B116" s="874"/>
      <c r="C116" s="874"/>
      <c r="D116" s="874"/>
      <c r="E116" s="874"/>
      <c r="F116" s="874"/>
      <c r="G116" s="874"/>
      <c r="H116" s="874"/>
      <c r="I116" s="874"/>
      <c r="J116" s="672"/>
      <c r="K116" s="672"/>
      <c r="L116" s="164">
        <v>189600</v>
      </c>
      <c r="M116" s="561"/>
      <c r="N116" s="561"/>
      <c r="O116" s="23"/>
      <c r="P116" s="23"/>
      <c r="Q116" s="326"/>
      <c r="R116" s="640"/>
      <c r="S116" s="640"/>
      <c r="T116" s="326"/>
      <c r="U116" s="326"/>
      <c r="V116" s="326"/>
      <c r="W116" s="326"/>
      <c r="X116" s="326"/>
      <c r="Y116" s="326"/>
      <c r="Z116" s="326"/>
      <c r="AA116" s="326"/>
      <c r="AB116" s="326"/>
      <c r="AC116" s="326"/>
      <c r="AD116" s="326"/>
      <c r="AE116" s="510"/>
      <c r="AF116" s="510"/>
      <c r="AG116" s="326"/>
      <c r="AH116" s="326"/>
      <c r="AI116" s="510"/>
      <c r="AJ116" s="510"/>
      <c r="AK116" s="13"/>
      <c r="AL116" s="13"/>
      <c r="AM116" s="13"/>
      <c r="AN116" s="13"/>
      <c r="AO116" s="13"/>
      <c r="AP116" s="13"/>
      <c r="AQ116" s="13"/>
      <c r="AR116" s="13"/>
      <c r="AS116" s="13"/>
      <c r="AT116" s="13"/>
      <c r="AU116" s="326"/>
      <c r="AV116" s="326"/>
      <c r="AW116" s="326"/>
      <c r="AX116" s="326"/>
      <c r="AY116" s="326"/>
      <c r="AZ116" s="326"/>
      <c r="BA116" s="326"/>
      <c r="BB116" s="326"/>
      <c r="BC116" s="326"/>
      <c r="BD116" s="326"/>
      <c r="BE116" s="326"/>
      <c r="BF116" s="13"/>
      <c r="BG116" s="13"/>
      <c r="BH116" s="13"/>
      <c r="BI116" s="13"/>
      <c r="BJ116" s="13"/>
      <c r="BK116" s="13"/>
      <c r="BL116" s="13"/>
      <c r="BM116" s="13"/>
      <c r="BN116" s="13"/>
      <c r="BO116" s="13"/>
      <c r="BP116" s="13"/>
      <c r="BQ116" s="13"/>
      <c r="BR116" s="13"/>
      <c r="BS116" s="13"/>
      <c r="BT116" s="13"/>
    </row>
    <row r="117" spans="1:72" s="867" customFormat="1" ht="16.5" hidden="1" customHeight="1" x14ac:dyDescent="0.25">
      <c r="A117" s="874"/>
      <c r="B117" s="874"/>
      <c r="C117" s="874"/>
      <c r="D117" s="874"/>
      <c r="E117" s="874"/>
      <c r="F117" s="874"/>
      <c r="G117" s="874"/>
      <c r="H117" s="874"/>
      <c r="I117" s="874"/>
      <c r="J117" s="672"/>
      <c r="K117" s="672"/>
      <c r="L117" s="164">
        <v>192300</v>
      </c>
      <c r="M117" s="561"/>
      <c r="N117" s="561"/>
      <c r="O117" s="23"/>
      <c r="P117" s="23"/>
      <c r="Q117" s="326"/>
      <c r="R117" s="640"/>
      <c r="S117" s="640"/>
      <c r="T117" s="326"/>
      <c r="U117" s="326"/>
      <c r="V117" s="326"/>
      <c r="W117" s="326"/>
      <c r="X117" s="326"/>
      <c r="Y117" s="326"/>
      <c r="Z117" s="326"/>
      <c r="AA117" s="326"/>
      <c r="AB117" s="326"/>
      <c r="AC117" s="326"/>
      <c r="AD117" s="326"/>
      <c r="AE117" s="510"/>
      <c r="AF117" s="510"/>
      <c r="AG117" s="326"/>
      <c r="AH117" s="326"/>
      <c r="AI117" s="510"/>
      <c r="AJ117" s="510"/>
      <c r="AK117" s="13"/>
      <c r="AL117" s="13"/>
      <c r="AM117" s="13"/>
      <c r="AN117" s="13"/>
      <c r="AO117" s="13"/>
      <c r="AP117" s="13"/>
      <c r="AQ117" s="13"/>
      <c r="AR117" s="13"/>
      <c r="AS117" s="13"/>
      <c r="AT117" s="13"/>
      <c r="AU117" s="326"/>
      <c r="AV117" s="326"/>
      <c r="AW117" s="326"/>
      <c r="AX117" s="326"/>
      <c r="AY117" s="326"/>
      <c r="AZ117" s="326"/>
      <c r="BA117" s="326"/>
      <c r="BB117" s="326"/>
      <c r="BC117" s="326"/>
      <c r="BD117" s="326"/>
      <c r="BE117" s="326"/>
      <c r="BF117" s="13"/>
      <c r="BG117" s="13"/>
      <c r="BH117" s="13"/>
      <c r="BI117" s="13"/>
      <c r="BJ117" s="13"/>
      <c r="BK117" s="13"/>
      <c r="BL117" s="13"/>
      <c r="BM117" s="13"/>
      <c r="BN117" s="13"/>
      <c r="BO117" s="13"/>
      <c r="BP117" s="13"/>
      <c r="BQ117" s="13"/>
      <c r="BR117" s="13"/>
      <c r="BS117" s="13"/>
      <c r="BT117" s="13"/>
    </row>
    <row r="118" spans="1:72" s="867" customFormat="1" ht="16.5" hidden="1" customHeight="1" x14ac:dyDescent="0.25">
      <c r="A118" s="874"/>
      <c r="B118" s="874"/>
      <c r="C118" s="874"/>
      <c r="D118" s="874"/>
      <c r="E118" s="874"/>
      <c r="F118" s="874"/>
      <c r="G118" s="874"/>
      <c r="H118" s="874"/>
      <c r="I118" s="874"/>
      <c r="J118" s="672"/>
      <c r="K118" s="672"/>
      <c r="L118" s="164">
        <v>197300</v>
      </c>
      <c r="M118" s="561"/>
      <c r="N118" s="561"/>
      <c r="O118" s="23"/>
      <c r="P118" s="23"/>
      <c r="Q118" s="326"/>
      <c r="R118" s="640"/>
      <c r="S118" s="640"/>
      <c r="T118" s="326"/>
      <c r="U118" s="326"/>
      <c r="V118" s="326"/>
      <c r="W118" s="326"/>
      <c r="X118" s="326"/>
      <c r="Y118" s="326"/>
      <c r="Z118" s="326"/>
      <c r="AA118" s="326"/>
      <c r="AB118" s="326"/>
      <c r="AC118" s="326"/>
      <c r="AD118" s="326"/>
      <c r="AE118" s="510"/>
      <c r="AF118" s="510"/>
      <c r="AG118" s="326"/>
      <c r="AH118" s="326"/>
      <c r="AI118" s="510"/>
      <c r="AJ118" s="510"/>
      <c r="AK118" s="13"/>
      <c r="AL118" s="13"/>
      <c r="AM118" s="13"/>
      <c r="AN118" s="13"/>
      <c r="AO118" s="13"/>
      <c r="AP118" s="13"/>
      <c r="AQ118" s="13"/>
      <c r="AR118" s="13"/>
      <c r="AS118" s="13"/>
      <c r="AT118" s="13"/>
      <c r="AU118" s="326"/>
      <c r="AV118" s="326"/>
      <c r="AW118" s="326"/>
      <c r="AX118" s="326"/>
      <c r="AY118" s="326"/>
      <c r="AZ118" s="326"/>
      <c r="BA118" s="326"/>
      <c r="BB118" s="326"/>
      <c r="BC118" s="326"/>
      <c r="BD118" s="326"/>
      <c r="BE118" s="326"/>
      <c r="BF118" s="13"/>
      <c r="BG118" s="13"/>
      <c r="BH118" s="13"/>
      <c r="BI118" s="13"/>
      <c r="BJ118" s="13"/>
      <c r="BK118" s="13"/>
      <c r="BL118" s="13"/>
      <c r="BM118" s="13"/>
      <c r="BN118" s="13"/>
      <c r="BO118" s="13"/>
      <c r="BP118" s="13"/>
      <c r="BQ118" s="13"/>
      <c r="BR118" s="13"/>
      <c r="BS118" s="13"/>
      <c r="BT118" s="13"/>
    </row>
    <row r="119" spans="1:72" s="867" customFormat="1" ht="16.5" hidden="1" customHeight="1" x14ac:dyDescent="0.25">
      <c r="A119" s="874"/>
      <c r="B119" s="874"/>
      <c r="C119" s="874"/>
      <c r="D119" s="874"/>
      <c r="E119" s="874"/>
      <c r="F119" s="874"/>
      <c r="G119" s="874"/>
      <c r="H119" s="874"/>
      <c r="I119" s="874"/>
      <c r="J119" s="672"/>
      <c r="K119" s="672"/>
      <c r="L119" s="164">
        <v>199300</v>
      </c>
      <c r="M119" s="561"/>
      <c r="N119" s="561"/>
      <c r="O119" s="23"/>
      <c r="P119" s="23"/>
      <c r="Q119" s="326"/>
      <c r="R119" s="640"/>
      <c r="S119" s="640"/>
      <c r="T119" s="326"/>
      <c r="U119" s="326"/>
      <c r="V119" s="326"/>
      <c r="W119" s="326"/>
      <c r="X119" s="326"/>
      <c r="Y119" s="326"/>
      <c r="Z119" s="326"/>
      <c r="AA119" s="326"/>
      <c r="AB119" s="326"/>
      <c r="AC119" s="326"/>
      <c r="AD119" s="326"/>
      <c r="AE119" s="510"/>
      <c r="AF119" s="510"/>
      <c r="AG119" s="326"/>
      <c r="AH119" s="326"/>
      <c r="AI119" s="510"/>
      <c r="AJ119" s="510"/>
      <c r="AK119" s="13"/>
      <c r="AL119" s="13"/>
      <c r="AM119" s="13"/>
      <c r="AN119" s="13"/>
      <c r="AO119" s="13"/>
      <c r="AP119" s="13"/>
      <c r="AQ119" s="13"/>
      <c r="AR119" s="13"/>
      <c r="AS119" s="13"/>
      <c r="AT119" s="13"/>
      <c r="AU119" s="326"/>
      <c r="AV119" s="326"/>
      <c r="AW119" s="326"/>
      <c r="AX119" s="326"/>
      <c r="AY119" s="326"/>
      <c r="AZ119" s="326"/>
      <c r="BA119" s="326"/>
      <c r="BB119" s="326"/>
      <c r="BC119" s="326"/>
      <c r="BD119" s="326"/>
      <c r="BE119" s="326"/>
      <c r="BF119" s="13"/>
      <c r="BG119" s="13"/>
      <c r="BH119" s="13"/>
      <c r="BI119" s="13"/>
      <c r="BJ119" s="13"/>
      <c r="BK119" s="13"/>
      <c r="BL119" s="13"/>
      <c r="BM119" s="13"/>
      <c r="BN119" s="13"/>
      <c r="BO119" s="13"/>
      <c r="BP119" s="13"/>
      <c r="BQ119" s="13"/>
      <c r="BR119" s="13"/>
      <c r="BS119" s="13"/>
      <c r="BT119" s="13"/>
    </row>
    <row r="120" spans="1:72" s="867" customFormat="1" ht="16.2" hidden="1" customHeight="1" x14ac:dyDescent="0.25">
      <c r="A120" s="874"/>
      <c r="B120" s="874"/>
      <c r="C120" s="874"/>
      <c r="D120" s="874"/>
      <c r="E120" s="874"/>
      <c r="F120" s="874"/>
      <c r="G120" s="874"/>
      <c r="H120" s="874"/>
      <c r="I120" s="874"/>
      <c r="J120" s="672"/>
      <c r="K120" s="672"/>
      <c r="L120" s="164">
        <v>203700</v>
      </c>
      <c r="M120" s="561"/>
      <c r="N120" s="561"/>
      <c r="O120" s="23"/>
      <c r="P120" s="23"/>
      <c r="Q120" s="326"/>
      <c r="R120" s="640"/>
      <c r="S120" s="640"/>
      <c r="T120" s="326"/>
      <c r="U120" s="326"/>
      <c r="V120" s="326"/>
      <c r="W120" s="326"/>
      <c r="X120" s="326"/>
      <c r="Y120" s="326"/>
      <c r="Z120" s="326"/>
      <c r="AA120" s="326"/>
      <c r="AB120" s="326"/>
      <c r="AC120" s="326"/>
      <c r="AD120" s="326"/>
      <c r="AE120" s="510"/>
      <c r="AF120" s="510"/>
      <c r="AG120" s="326"/>
      <c r="AH120" s="326"/>
      <c r="AI120" s="510"/>
      <c r="AJ120" s="510"/>
      <c r="AK120" s="13"/>
      <c r="AL120" s="13"/>
      <c r="AM120" s="13"/>
      <c r="AN120" s="13"/>
      <c r="AO120" s="13"/>
      <c r="AP120" s="13"/>
      <c r="AQ120" s="13"/>
      <c r="AR120" s="13"/>
      <c r="AS120" s="13"/>
      <c r="AT120" s="13"/>
      <c r="AU120" s="326"/>
      <c r="AV120" s="326"/>
      <c r="AW120" s="326"/>
      <c r="AX120" s="326"/>
      <c r="AY120" s="326"/>
      <c r="AZ120" s="326"/>
      <c r="BA120" s="326"/>
      <c r="BB120" s="326"/>
      <c r="BC120" s="326"/>
      <c r="BD120" s="326"/>
      <c r="BE120" s="326"/>
      <c r="BF120" s="13"/>
      <c r="BG120" s="13"/>
      <c r="BH120" s="13"/>
      <c r="BI120" s="13"/>
      <c r="BJ120" s="13"/>
      <c r="BK120" s="13"/>
      <c r="BL120" s="13"/>
      <c r="BM120" s="13"/>
      <c r="BN120" s="13"/>
      <c r="BO120" s="13"/>
      <c r="BP120" s="13"/>
      <c r="BQ120" s="13"/>
      <c r="BR120" s="13"/>
      <c r="BS120" s="13"/>
      <c r="BT120" s="13"/>
    </row>
    <row r="121" spans="1:72" ht="16.5" hidden="1" customHeight="1" thickBot="1" x14ac:dyDescent="0.3">
      <c r="A121" s="540"/>
      <c r="B121" s="874"/>
      <c r="C121" s="540"/>
      <c r="D121" s="874"/>
      <c r="E121" s="874"/>
      <c r="F121" s="874"/>
      <c r="G121" s="540"/>
      <c r="H121" s="540"/>
      <c r="I121" s="540"/>
      <c r="J121" s="672"/>
      <c r="K121" s="672"/>
      <c r="L121" s="164">
        <v>212100</v>
      </c>
      <c r="M121" s="561"/>
      <c r="N121" s="561"/>
      <c r="O121" s="23"/>
      <c r="P121" s="23"/>
      <c r="Q121" s="326"/>
      <c r="R121" s="640"/>
      <c r="S121" s="640"/>
      <c r="T121" s="326"/>
      <c r="U121" s="326"/>
      <c r="V121" s="326"/>
      <c r="W121" s="326"/>
      <c r="X121" s="326"/>
      <c r="Y121" s="326"/>
      <c r="Z121" s="326"/>
      <c r="AA121" s="326"/>
      <c r="AB121" s="326"/>
      <c r="AC121" s="326"/>
      <c r="AD121" s="326"/>
      <c r="AE121" s="510"/>
      <c r="AF121" s="510"/>
      <c r="AG121" s="326"/>
      <c r="AH121" s="326"/>
      <c r="AI121" s="510"/>
      <c r="AJ121" s="510"/>
      <c r="AK121" s="13"/>
      <c r="AL121" s="13"/>
      <c r="AM121" s="13"/>
      <c r="AN121" s="13"/>
      <c r="AO121" s="13"/>
      <c r="AP121" s="13"/>
      <c r="AQ121" s="13"/>
      <c r="AR121" s="13"/>
      <c r="AS121" s="13"/>
      <c r="AT121" s="13"/>
      <c r="AU121" s="326"/>
      <c r="AV121" s="326"/>
      <c r="AW121" s="326"/>
      <c r="AX121" s="326"/>
      <c r="AY121" s="326"/>
      <c r="AZ121" s="326"/>
      <c r="BA121" s="326"/>
      <c r="BB121" s="326"/>
      <c r="BC121" s="326"/>
      <c r="BD121" s="326"/>
      <c r="BE121" s="326"/>
      <c r="BF121" s="13"/>
      <c r="BG121" s="13"/>
      <c r="BH121" s="13"/>
      <c r="BI121" s="13"/>
      <c r="BJ121" s="13"/>
      <c r="BK121" s="13"/>
      <c r="BL121" s="13"/>
      <c r="BM121" s="13"/>
      <c r="BN121" s="13"/>
      <c r="BO121" s="13"/>
      <c r="BP121" s="13"/>
      <c r="BQ121" s="13"/>
      <c r="BR121" s="13"/>
      <c r="BS121" s="13"/>
      <c r="BT121" s="13"/>
    </row>
    <row r="122" spans="1:72" s="15" customFormat="1" ht="15" customHeight="1" thickTop="1" thickBot="1" x14ac:dyDescent="0.3">
      <c r="A122" s="1093" t="s">
        <v>197</v>
      </c>
      <c r="B122" s="1093"/>
      <c r="C122" s="438"/>
      <c r="D122" s="438"/>
      <c r="E122" s="438"/>
      <c r="F122" s="438"/>
      <c r="G122" s="438"/>
      <c r="H122" s="438"/>
      <c r="I122" s="438"/>
      <c r="J122" s="439"/>
      <c r="K122" s="439"/>
      <c r="L122" s="455"/>
      <c r="M122" s="438"/>
      <c r="N122" s="320"/>
      <c r="O122" s="23"/>
      <c r="P122" s="23"/>
      <c r="Q122" s="326"/>
      <c r="R122" s="640"/>
      <c r="S122" s="640"/>
      <c r="T122" s="326"/>
      <c r="U122" s="326"/>
      <c r="V122" s="326"/>
      <c r="W122" s="326"/>
      <c r="X122" s="326"/>
      <c r="Y122" s="326"/>
      <c r="Z122" s="326"/>
      <c r="AA122" s="326"/>
      <c r="AB122" s="326"/>
      <c r="AC122" s="326"/>
      <c r="AD122" s="326"/>
      <c r="AE122" s="510"/>
      <c r="AF122" s="510"/>
      <c r="AG122" s="326"/>
      <c r="AH122" s="326"/>
      <c r="AI122" s="510"/>
      <c r="AJ122" s="510"/>
      <c r="AK122" s="13"/>
      <c r="AL122" s="13"/>
      <c r="AM122" s="13"/>
      <c r="AN122" s="13"/>
      <c r="AO122" s="13"/>
      <c r="AP122" s="13"/>
      <c r="AQ122" s="13"/>
      <c r="AR122" s="13"/>
      <c r="AS122" s="13"/>
      <c r="AT122" s="13"/>
      <c r="AU122" s="326"/>
      <c r="AV122" s="326"/>
      <c r="AW122" s="326"/>
      <c r="AX122" s="326"/>
      <c r="AY122" s="326"/>
      <c r="AZ122" s="326"/>
      <c r="BA122" s="326"/>
      <c r="BB122" s="326"/>
      <c r="BC122" s="326"/>
      <c r="BD122" s="326"/>
      <c r="BE122" s="326"/>
      <c r="BF122" s="13"/>
      <c r="BG122" s="13"/>
      <c r="BH122" s="13"/>
      <c r="BI122" s="13"/>
      <c r="BJ122" s="13"/>
      <c r="BK122" s="13"/>
      <c r="BL122" s="13"/>
      <c r="BM122" s="13"/>
      <c r="BN122" s="13"/>
      <c r="BO122" s="13"/>
      <c r="BP122" s="13"/>
      <c r="BQ122" s="13"/>
      <c r="BR122" s="13"/>
      <c r="BS122" s="13"/>
      <c r="BT122" s="13"/>
    </row>
    <row r="123" spans="1:72" s="15" customFormat="1" ht="15" customHeight="1" thickTop="1" thickBot="1" x14ac:dyDescent="0.3">
      <c r="A123" s="443"/>
      <c r="B123" s="443"/>
      <c r="C123" s="453"/>
      <c r="D123" s="453"/>
      <c r="E123" s="453"/>
      <c r="F123" s="453"/>
      <c r="G123" s="328"/>
      <c r="H123" s="328"/>
      <c r="I123" s="328"/>
      <c r="J123" s="328"/>
      <c r="K123" s="328"/>
      <c r="L123" s="328"/>
      <c r="M123" s="328"/>
      <c r="N123" s="328"/>
      <c r="O123" s="23"/>
      <c r="P123" s="23"/>
      <c r="Q123" s="326"/>
      <c r="R123" s="640"/>
      <c r="S123" s="640"/>
      <c r="T123" s="326"/>
      <c r="U123" s="326"/>
      <c r="V123" s="326"/>
      <c r="W123" s="326"/>
      <c r="X123" s="326"/>
      <c r="Y123" s="326"/>
      <c r="Z123" s="326"/>
      <c r="AA123" s="326"/>
      <c r="AB123" s="326"/>
      <c r="AC123" s="326"/>
      <c r="AD123" s="326"/>
      <c r="AE123" s="510"/>
      <c r="AF123" s="510"/>
      <c r="AG123" s="326"/>
      <c r="AH123" s="326"/>
      <c r="AI123" s="510"/>
      <c r="AJ123" s="510"/>
      <c r="AK123" s="13"/>
      <c r="AL123" s="13"/>
      <c r="AM123" s="13"/>
      <c r="AN123" s="13"/>
      <c r="AO123" s="13"/>
      <c r="AP123" s="13"/>
      <c r="AQ123" s="13"/>
      <c r="AR123" s="13"/>
      <c r="AS123" s="13"/>
      <c r="AT123" s="13"/>
      <c r="AU123" s="326"/>
      <c r="AV123" s="326"/>
      <c r="AW123" s="326"/>
      <c r="AX123" s="326"/>
      <c r="AY123" s="326"/>
      <c r="AZ123" s="326"/>
      <c r="BA123" s="326"/>
      <c r="BB123" s="326"/>
      <c r="BC123" s="326"/>
      <c r="BD123" s="326"/>
      <c r="BE123" s="326"/>
      <c r="BF123" s="13"/>
      <c r="BG123" s="13"/>
      <c r="BH123" s="13"/>
      <c r="BI123" s="13"/>
      <c r="BJ123" s="13"/>
      <c r="BK123" s="13"/>
      <c r="BL123" s="13"/>
      <c r="BM123" s="13"/>
      <c r="BN123" s="13"/>
      <c r="BO123" s="13"/>
      <c r="BP123" s="13"/>
      <c r="BQ123" s="13"/>
      <c r="BR123" s="13"/>
      <c r="BS123" s="13"/>
      <c r="BT123" s="13"/>
    </row>
    <row r="124" spans="1:72" ht="15" thickTop="1" thickBot="1" x14ac:dyDescent="0.3">
      <c r="A124" s="1226" t="s">
        <v>424</v>
      </c>
      <c r="B124" s="1226"/>
      <c r="C124" s="319"/>
      <c r="D124" s="319"/>
      <c r="E124" s="319"/>
      <c r="F124" s="319"/>
      <c r="G124" s="320"/>
      <c r="H124" s="321" t="s">
        <v>60</v>
      </c>
      <c r="I124" s="320"/>
      <c r="J124" s="320"/>
      <c r="K124" s="320"/>
      <c r="L124" s="320"/>
      <c r="M124" s="320"/>
      <c r="N124" s="456" t="s">
        <v>104</v>
      </c>
      <c r="O124" s="193"/>
      <c r="P124" s="193"/>
      <c r="Q124" s="326"/>
      <c r="R124" s="640"/>
      <c r="S124" s="640"/>
      <c r="T124" s="326"/>
      <c r="U124" s="326"/>
      <c r="V124" s="326"/>
      <c r="W124" s="326"/>
      <c r="X124" s="326"/>
      <c r="Y124" s="326"/>
      <c r="Z124" s="326"/>
      <c r="AA124" s="326"/>
      <c r="AB124" s="326"/>
      <c r="AC124" s="326"/>
      <c r="AD124" s="326"/>
      <c r="AE124" s="510"/>
      <c r="AF124" s="510"/>
      <c r="AG124" s="326"/>
      <c r="AH124" s="326"/>
      <c r="AI124" s="510"/>
      <c r="AJ124" s="510"/>
      <c r="AK124" s="13"/>
      <c r="AL124" s="13"/>
      <c r="AM124" s="13"/>
      <c r="AN124" s="13"/>
      <c r="AO124" s="13"/>
      <c r="AP124" s="13"/>
      <c r="AQ124" s="13"/>
      <c r="AR124" s="13"/>
      <c r="AS124" s="13"/>
      <c r="AT124" s="13"/>
      <c r="AU124" s="326"/>
      <c r="AV124" s="326"/>
      <c r="AW124" s="326"/>
      <c r="AX124" s="326"/>
      <c r="AY124" s="326"/>
      <c r="AZ124" s="326"/>
      <c r="BA124" s="326"/>
      <c r="BB124" s="326"/>
      <c r="BC124" s="326"/>
      <c r="BD124" s="326"/>
      <c r="BE124" s="326"/>
      <c r="BF124" s="13"/>
      <c r="BG124" s="13"/>
      <c r="BH124" s="13"/>
      <c r="BI124" s="13"/>
      <c r="BJ124" s="13"/>
      <c r="BK124" s="13"/>
      <c r="BL124" s="13"/>
      <c r="BM124" s="13"/>
      <c r="BN124" s="13"/>
      <c r="BO124" s="13"/>
      <c r="BP124" s="13"/>
      <c r="BQ124" s="13"/>
      <c r="BR124" s="13"/>
      <c r="BS124" s="13"/>
      <c r="BT124" s="13"/>
    </row>
    <row r="125" spans="1:72" ht="20.25" customHeight="1" thickTop="1" x14ac:dyDescent="0.25">
      <c r="A125" s="1226" t="s">
        <v>126</v>
      </c>
      <c r="B125" s="1226"/>
      <c r="C125" s="319"/>
      <c r="D125" s="319"/>
      <c r="E125" s="319"/>
      <c r="F125" s="319"/>
      <c r="G125" s="320"/>
      <c r="H125" s="320"/>
      <c r="I125" s="320"/>
      <c r="J125" s="320"/>
      <c r="K125" s="320"/>
      <c r="L125" s="320"/>
      <c r="M125" s="320"/>
      <c r="N125" s="438"/>
      <c r="O125" s="90"/>
      <c r="P125" s="90"/>
      <c r="Q125" s="326"/>
      <c r="R125" s="640"/>
      <c r="S125" s="640"/>
      <c r="T125" s="326"/>
      <c r="U125" s="326"/>
      <c r="V125" s="326"/>
      <c r="W125" s="326"/>
      <c r="X125" s="326"/>
      <c r="Y125" s="326"/>
      <c r="Z125" s="326"/>
      <c r="AA125" s="326"/>
      <c r="AB125" s="326"/>
      <c r="AC125" s="326"/>
      <c r="AD125" s="326"/>
      <c r="AE125" s="510"/>
      <c r="AF125" s="510"/>
      <c r="AG125" s="326"/>
      <c r="AH125" s="326"/>
      <c r="AI125" s="510"/>
      <c r="AJ125" s="510"/>
      <c r="AK125" s="13"/>
      <c r="AL125" s="13"/>
      <c r="AM125" s="13"/>
      <c r="AN125" s="13"/>
      <c r="AO125" s="13"/>
      <c r="AP125" s="13"/>
      <c r="AQ125" s="13"/>
      <c r="AR125" s="13"/>
      <c r="AS125" s="13"/>
      <c r="AT125" s="13"/>
      <c r="AU125" s="326"/>
      <c r="AV125" s="326"/>
      <c r="AW125" s="326"/>
      <c r="AX125" s="326"/>
      <c r="AY125" s="326"/>
      <c r="AZ125" s="326"/>
      <c r="BA125" s="326"/>
      <c r="BB125" s="326"/>
      <c r="BC125" s="326"/>
      <c r="BD125" s="326"/>
      <c r="BE125" s="326"/>
      <c r="BF125" s="13"/>
      <c r="BG125" s="13"/>
      <c r="BH125" s="13"/>
      <c r="BI125" s="13"/>
      <c r="BJ125" s="13"/>
      <c r="BK125" s="13"/>
      <c r="BL125" s="13"/>
      <c r="BM125" s="13"/>
      <c r="BN125" s="13"/>
      <c r="BO125" s="13"/>
      <c r="BP125" s="13"/>
      <c r="BQ125" s="13"/>
      <c r="BR125" s="13"/>
      <c r="BS125" s="13"/>
      <c r="BT125" s="13"/>
    </row>
    <row r="126" spans="1:72" x14ac:dyDescent="0.25">
      <c r="A126" s="1226" t="s">
        <v>130</v>
      </c>
      <c r="B126" s="1226"/>
      <c r="C126" s="320"/>
      <c r="D126" s="320"/>
      <c r="E126" s="320"/>
      <c r="F126" s="320"/>
      <c r="G126" s="320"/>
      <c r="H126" s="320"/>
      <c r="I126" s="320"/>
      <c r="J126" s="320"/>
      <c r="K126" s="320"/>
      <c r="L126" s="320"/>
      <c r="M126" s="320"/>
      <c r="N126" s="320"/>
      <c r="O126" s="23"/>
      <c r="P126" s="23"/>
      <c r="Q126" s="230"/>
      <c r="R126" s="642"/>
      <c r="S126" s="642"/>
      <c r="T126" s="230"/>
      <c r="U126" s="230"/>
      <c r="V126" s="230"/>
      <c r="W126" s="230"/>
      <c r="X126" s="866"/>
      <c r="Y126" s="866"/>
      <c r="Z126" s="230"/>
      <c r="AA126" s="230"/>
      <c r="AB126" s="230"/>
      <c r="AD126" s="230"/>
      <c r="AE126" s="265"/>
      <c r="AF126" s="265"/>
      <c r="AG126" s="230"/>
      <c r="AH126" s="230"/>
      <c r="AI126" s="265"/>
      <c r="AJ126" s="265"/>
    </row>
    <row r="127" spans="1:72" ht="14.4" thickBot="1" x14ac:dyDescent="0.3">
      <c r="A127" s="1226" t="s">
        <v>166</v>
      </c>
      <c r="B127" s="1226"/>
      <c r="C127" s="320"/>
      <c r="D127" s="320"/>
      <c r="E127" s="320"/>
      <c r="F127" s="320"/>
      <c r="G127" s="320"/>
      <c r="H127" s="320"/>
      <c r="I127" s="320"/>
      <c r="J127" s="320"/>
      <c r="K127" s="320"/>
      <c r="L127" s="320"/>
      <c r="M127" s="320"/>
      <c r="N127" s="320"/>
      <c r="O127" s="23"/>
      <c r="P127" s="23"/>
      <c r="Q127" s="230"/>
      <c r="R127" s="642"/>
      <c r="S127" s="642"/>
      <c r="T127" s="230"/>
      <c r="U127" s="230"/>
      <c r="V127" s="230"/>
      <c r="W127" s="230"/>
      <c r="X127" s="866"/>
      <c r="Y127" s="866"/>
      <c r="Z127" s="230"/>
      <c r="AA127" s="230"/>
      <c r="AB127" s="230"/>
      <c r="AD127" s="230"/>
      <c r="AE127" s="265"/>
      <c r="AF127" s="265"/>
      <c r="AG127" s="230"/>
      <c r="AH127" s="230"/>
      <c r="AI127" s="265"/>
      <c r="AJ127" s="265"/>
    </row>
    <row r="128" spans="1:72" ht="15" thickTop="1" thickBot="1" x14ac:dyDescent="0.3">
      <c r="A128" s="1226" t="s">
        <v>501</v>
      </c>
      <c r="B128" s="1226"/>
      <c r="C128" s="320"/>
      <c r="D128" s="320"/>
      <c r="E128" s="320"/>
      <c r="F128" s="320"/>
      <c r="G128" s="320"/>
      <c r="H128" s="320"/>
      <c r="I128" s="320"/>
      <c r="J128" s="320"/>
      <c r="K128" s="320"/>
      <c r="L128" s="320"/>
      <c r="M128" s="320"/>
      <c r="N128" s="457"/>
      <c r="O128" s="194"/>
      <c r="P128" s="194"/>
      <c r="Q128" s="230"/>
      <c r="R128" s="642"/>
      <c r="S128" s="642"/>
      <c r="T128" s="230"/>
      <c r="U128" s="230"/>
      <c r="V128" s="230"/>
      <c r="W128" s="230"/>
      <c r="X128" s="866"/>
      <c r="Y128" s="866"/>
      <c r="Z128" s="230"/>
      <c r="AA128" s="230"/>
      <c r="AB128" s="230"/>
      <c r="AD128" s="230"/>
      <c r="AE128" s="265"/>
      <c r="AF128" s="265"/>
      <c r="AG128" s="230"/>
      <c r="AH128" s="230"/>
      <c r="AI128" s="265"/>
      <c r="AJ128" s="265"/>
    </row>
    <row r="129" spans="1:57" s="867" customFormat="1" ht="14.4" thickTop="1" x14ac:dyDescent="0.25">
      <c r="A129" s="1226" t="s">
        <v>500</v>
      </c>
      <c r="B129" s="1226"/>
      <c r="C129" s="320"/>
      <c r="D129" s="320"/>
      <c r="E129" s="320"/>
      <c r="F129" s="320"/>
      <c r="G129" s="320"/>
      <c r="H129" s="320"/>
      <c r="I129" s="320"/>
      <c r="J129" s="320"/>
      <c r="K129" s="320"/>
      <c r="L129" s="320"/>
      <c r="M129" s="320"/>
      <c r="N129" s="320"/>
      <c r="O129" s="194"/>
      <c r="P129" s="194"/>
      <c r="Q129" s="866"/>
      <c r="R129" s="642"/>
      <c r="S129" s="642"/>
      <c r="T129" s="866"/>
      <c r="U129" s="866"/>
      <c r="V129" s="866"/>
      <c r="W129" s="866"/>
      <c r="X129" s="866"/>
      <c r="Y129" s="866"/>
      <c r="Z129" s="866"/>
      <c r="AA129" s="866"/>
      <c r="AB129" s="866"/>
      <c r="AC129" s="866"/>
      <c r="AD129" s="866"/>
      <c r="AE129" s="868"/>
      <c r="AF129" s="868"/>
      <c r="AG129" s="866"/>
      <c r="AH129" s="866"/>
      <c r="AI129" s="868"/>
      <c r="AJ129" s="868"/>
      <c r="AU129" s="866"/>
      <c r="AV129" s="866"/>
      <c r="AW129" s="866"/>
      <c r="AX129" s="866"/>
      <c r="AY129" s="866"/>
      <c r="AZ129" s="866"/>
      <c r="BA129" s="866"/>
      <c r="BB129" s="866"/>
      <c r="BC129" s="866"/>
      <c r="BD129" s="866"/>
      <c r="BE129" s="866"/>
    </row>
    <row r="130" spans="1:57" s="867" customFormat="1" x14ac:dyDescent="0.25">
      <c r="A130" s="453"/>
      <c r="B130" s="453"/>
      <c r="C130" s="453"/>
      <c r="D130" s="453"/>
      <c r="E130" s="453"/>
      <c r="F130" s="453"/>
      <c r="G130" s="328"/>
      <c r="H130" s="328"/>
      <c r="I130" s="328"/>
      <c r="J130" s="328"/>
      <c r="K130" s="328"/>
      <c r="L130" s="328"/>
      <c r="M130" s="328"/>
      <c r="N130" s="443"/>
      <c r="O130" s="90"/>
      <c r="P130" s="90"/>
      <c r="Q130" s="866"/>
      <c r="R130" s="642"/>
      <c r="S130" s="642"/>
      <c r="T130" s="866"/>
      <c r="U130" s="866"/>
      <c r="V130" s="866"/>
      <c r="W130" s="866"/>
      <c r="X130" s="866"/>
      <c r="Y130" s="866"/>
      <c r="Z130" s="866"/>
      <c r="AA130" s="866"/>
      <c r="AB130" s="866"/>
      <c r="AD130" s="866"/>
      <c r="AE130" s="868"/>
      <c r="AF130" s="868"/>
      <c r="AG130" s="866"/>
      <c r="AH130" s="866"/>
      <c r="AI130" s="868"/>
      <c r="AJ130" s="868"/>
    </row>
    <row r="131" spans="1:57" s="867" customFormat="1" ht="26.1" customHeight="1" thickBot="1" x14ac:dyDescent="0.4">
      <c r="A131" s="1227" t="s">
        <v>429</v>
      </c>
      <c r="B131" s="1227"/>
      <c r="C131" s="627"/>
      <c r="D131" s="627"/>
      <c r="E131" s="627"/>
      <c r="F131" s="627"/>
      <c r="G131" s="627"/>
      <c r="H131" s="627"/>
      <c r="I131" s="627"/>
      <c r="J131" s="627"/>
      <c r="K131" s="627"/>
      <c r="L131" s="629"/>
      <c r="M131" s="629"/>
      <c r="N131" s="629"/>
      <c r="O131" s="189"/>
      <c r="P131" s="189"/>
      <c r="Q131" s="866"/>
      <c r="R131" s="642"/>
      <c r="S131" s="642"/>
      <c r="T131" s="866"/>
      <c r="U131" s="866"/>
      <c r="V131" s="866"/>
      <c r="W131" s="866"/>
      <c r="X131" s="866"/>
      <c r="Y131" s="866"/>
      <c r="Z131" s="866"/>
      <c r="AA131" s="866"/>
      <c r="AB131" s="866"/>
      <c r="AD131" s="866"/>
      <c r="AE131" s="868"/>
      <c r="AF131" s="868"/>
      <c r="AG131" s="866"/>
      <c r="AH131" s="866"/>
      <c r="AI131" s="868"/>
      <c r="AJ131" s="868"/>
    </row>
    <row r="132" spans="1:57" ht="15.6" thickTop="1" thickBot="1" x14ac:dyDescent="0.35">
      <c r="A132" s="1226" t="s">
        <v>425</v>
      </c>
      <c r="B132" s="1226"/>
      <c r="C132" s="319"/>
      <c r="D132" s="319"/>
      <c r="E132" s="319"/>
      <c r="F132" s="319"/>
      <c r="G132" s="319"/>
      <c r="H132" s="321" t="s">
        <v>60</v>
      </c>
      <c r="I132" s="320"/>
      <c r="J132" s="320"/>
      <c r="K132" s="458"/>
      <c r="L132" s="1240"/>
      <c r="M132" s="320"/>
      <c r="N132" s="1094" t="s">
        <v>266</v>
      </c>
      <c r="O132" s="90"/>
      <c r="P132" s="90"/>
      <c r="Q132" s="230"/>
      <c r="R132" s="642"/>
      <c r="S132" s="642"/>
      <c r="T132" s="230"/>
      <c r="U132" s="230"/>
      <c r="V132" s="230"/>
      <c r="W132" s="230"/>
      <c r="X132" s="866"/>
      <c r="Y132" s="866"/>
      <c r="Z132" s="230"/>
      <c r="AA132" s="230"/>
      <c r="AB132" s="230"/>
      <c r="AD132" s="230"/>
      <c r="AE132" s="265"/>
      <c r="AF132" s="265"/>
      <c r="AG132" s="230"/>
      <c r="AH132" s="230"/>
      <c r="AI132" s="265"/>
      <c r="AJ132" s="265"/>
    </row>
    <row r="133" spans="1:57" ht="14.4" thickTop="1" x14ac:dyDescent="0.25">
      <c r="A133" s="1226" t="s">
        <v>127</v>
      </c>
      <c r="B133" s="1226"/>
      <c r="C133" s="319"/>
      <c r="D133" s="319"/>
      <c r="E133" s="319"/>
      <c r="F133" s="319"/>
      <c r="G133" s="320"/>
      <c r="H133" s="320"/>
      <c r="I133" s="320"/>
      <c r="J133" s="320"/>
      <c r="K133" s="320"/>
      <c r="L133" s="438"/>
      <c r="M133" s="320"/>
      <c r="N133" s="438"/>
      <c r="O133" s="90"/>
      <c r="P133" s="90"/>
      <c r="Q133" s="230"/>
      <c r="R133" s="642"/>
      <c r="S133" s="642"/>
      <c r="T133" s="230"/>
      <c r="U133" s="230"/>
      <c r="V133" s="230"/>
      <c r="W133" s="230"/>
      <c r="X133" s="866"/>
      <c r="Y133" s="866"/>
      <c r="Z133" s="230"/>
      <c r="AA133" s="230"/>
      <c r="AB133" s="230"/>
      <c r="AD133" s="230"/>
      <c r="AE133" s="230"/>
      <c r="AF133" s="230"/>
      <c r="AG133" s="230"/>
      <c r="AH133" s="230"/>
      <c r="AI133" s="230"/>
      <c r="AJ133" s="230"/>
    </row>
    <row r="134" spans="1:57" x14ac:dyDescent="0.25">
      <c r="A134" s="1226" t="s">
        <v>337</v>
      </c>
      <c r="B134" s="1226"/>
      <c r="C134" s="319"/>
      <c r="D134" s="319"/>
      <c r="E134" s="319"/>
      <c r="F134" s="319"/>
      <c r="G134" s="320"/>
      <c r="H134" s="320"/>
      <c r="I134" s="320"/>
      <c r="J134" s="320"/>
      <c r="K134" s="320"/>
      <c r="L134" s="438"/>
      <c r="M134" s="320"/>
      <c r="N134" s="438"/>
      <c r="O134" s="90"/>
      <c r="P134" s="90"/>
      <c r="Q134" s="230"/>
      <c r="R134" s="642"/>
      <c r="S134" s="642"/>
      <c r="T134" s="230"/>
      <c r="U134" s="230"/>
      <c r="V134" s="230"/>
      <c r="W134" s="230"/>
      <c r="X134" s="866"/>
      <c r="Y134" s="866"/>
      <c r="Z134" s="230"/>
      <c r="AA134" s="230"/>
      <c r="AB134" s="230"/>
      <c r="AD134" s="230"/>
      <c r="AE134" s="230"/>
      <c r="AF134" s="230"/>
      <c r="AG134" s="230"/>
      <c r="AH134" s="230"/>
      <c r="AI134" s="230"/>
      <c r="AJ134" s="230"/>
    </row>
    <row r="135" spans="1:57" x14ac:dyDescent="0.25">
      <c r="A135" s="1226" t="s">
        <v>338</v>
      </c>
      <c r="B135" s="1226"/>
      <c r="C135" s="319"/>
      <c r="D135" s="319"/>
      <c r="E135" s="319"/>
      <c r="F135" s="319"/>
      <c r="G135" s="320"/>
      <c r="H135" s="320"/>
      <c r="I135" s="320"/>
      <c r="J135" s="320"/>
      <c r="K135" s="320"/>
      <c r="L135" s="438"/>
      <c r="M135" s="320"/>
      <c r="N135" s="438"/>
      <c r="O135" s="90"/>
      <c r="P135" s="90"/>
      <c r="Q135" s="230"/>
      <c r="R135" s="642"/>
      <c r="S135" s="642"/>
      <c r="T135" s="230"/>
      <c r="U135" s="230"/>
      <c r="V135" s="230"/>
      <c r="W135" s="230"/>
      <c r="X135" s="866"/>
      <c r="Y135" s="866"/>
      <c r="Z135" s="230"/>
      <c r="AA135" s="230"/>
      <c r="AB135" s="230"/>
      <c r="AD135" s="230"/>
      <c r="AE135" s="230"/>
      <c r="AF135" s="230"/>
      <c r="AG135" s="230"/>
      <c r="AH135" s="230"/>
      <c r="AI135" s="230"/>
      <c r="AJ135" s="230"/>
    </row>
    <row r="136" spans="1:57" ht="14.4" thickBot="1" x14ac:dyDescent="0.3">
      <c r="A136" s="453"/>
      <c r="B136" s="453"/>
      <c r="C136" s="453"/>
      <c r="D136" s="453"/>
      <c r="E136" s="453"/>
      <c r="F136" s="453"/>
      <c r="G136" s="328"/>
      <c r="H136" s="328"/>
      <c r="I136" s="328"/>
      <c r="J136" s="328"/>
      <c r="K136" s="328"/>
      <c r="L136" s="328"/>
      <c r="M136" s="328"/>
      <c r="N136" s="443"/>
      <c r="O136" s="90"/>
      <c r="P136" s="90"/>
      <c r="Q136" s="230"/>
      <c r="R136" s="642"/>
      <c r="S136" s="642"/>
      <c r="T136" s="230"/>
      <c r="U136" s="230"/>
      <c r="V136" s="230"/>
      <c r="W136" s="230"/>
      <c r="X136" s="866"/>
      <c r="Y136" s="866"/>
      <c r="Z136" s="230"/>
      <c r="AA136" s="230"/>
      <c r="AB136" s="230"/>
      <c r="AD136" s="230"/>
      <c r="AE136" s="265"/>
      <c r="AF136" s="265"/>
      <c r="AG136" s="230"/>
      <c r="AH136" s="230"/>
      <c r="AI136" s="265"/>
      <c r="AJ136" s="265"/>
    </row>
    <row r="137" spans="1:57" ht="15.6" thickTop="1" thickBot="1" x14ac:dyDescent="0.35">
      <c r="A137" s="1226" t="s">
        <v>516</v>
      </c>
      <c r="B137" s="1226"/>
      <c r="C137" s="319"/>
      <c r="D137" s="319"/>
      <c r="E137" s="319"/>
      <c r="F137" s="319"/>
      <c r="G137" s="320"/>
      <c r="H137" s="321">
        <v>0</v>
      </c>
      <c r="I137" s="458"/>
      <c r="J137" s="458"/>
      <c r="K137" s="458"/>
      <c r="L137" s="320"/>
      <c r="M137" s="320"/>
      <c r="N137" s="1094" t="s">
        <v>266</v>
      </c>
      <c r="O137" s="90"/>
      <c r="P137" s="90"/>
      <c r="Q137" s="230"/>
      <c r="R137" s="642"/>
      <c r="S137" s="642"/>
      <c r="T137" s="230"/>
      <c r="U137" s="230"/>
      <c r="V137" s="230"/>
      <c r="W137" s="230"/>
      <c r="X137" s="866"/>
      <c r="Y137" s="866"/>
      <c r="Z137" s="230"/>
      <c r="AA137" s="230"/>
      <c r="AB137" s="230"/>
      <c r="AD137" s="230"/>
      <c r="AE137" s="265"/>
      <c r="AF137" s="265"/>
      <c r="AG137" s="230"/>
      <c r="AH137" s="230"/>
      <c r="AI137" s="265"/>
      <c r="AJ137" s="265"/>
    </row>
    <row r="138" spans="1:57" ht="14.4" hidden="1" thickTop="1" x14ac:dyDescent="0.25">
      <c r="A138" s="539"/>
      <c r="B138" s="539"/>
      <c r="C138" s="539"/>
      <c r="D138" s="539"/>
      <c r="E138" s="539"/>
      <c r="F138" s="539"/>
      <c r="G138" s="539"/>
      <c r="H138" s="539"/>
      <c r="I138" s="561"/>
      <c r="J138" s="561"/>
      <c r="K138" s="561"/>
      <c r="L138" s="561"/>
      <c r="M138" s="674" t="s">
        <v>70</v>
      </c>
      <c r="N138" s="675" t="s">
        <v>62</v>
      </c>
      <c r="O138" s="195"/>
      <c r="P138" s="195"/>
      <c r="Q138" s="230"/>
      <c r="R138" s="642"/>
      <c r="S138" s="642"/>
      <c r="T138" s="230"/>
      <c r="U138" s="230"/>
      <c r="V138" s="230"/>
      <c r="W138" s="230"/>
      <c r="X138" s="866"/>
      <c r="Y138" s="866"/>
      <c r="Z138" s="230"/>
      <c r="AA138" s="230"/>
      <c r="AB138" s="230"/>
      <c r="AD138" s="230"/>
      <c r="AE138" s="265"/>
      <c r="AF138" s="265"/>
      <c r="AG138" s="230"/>
      <c r="AH138" s="230"/>
      <c r="AI138" s="265"/>
      <c r="AJ138" s="265"/>
    </row>
    <row r="139" spans="1:57" ht="14.4" hidden="1" thickTop="1" x14ac:dyDescent="0.25">
      <c r="A139" s="539"/>
      <c r="B139" s="539"/>
      <c r="C139" s="539"/>
      <c r="D139" s="539"/>
      <c r="E139" s="539"/>
      <c r="F139" s="539"/>
      <c r="G139" s="539"/>
      <c r="H139" s="539"/>
      <c r="I139" s="561"/>
      <c r="J139" s="561"/>
      <c r="K139" s="561"/>
      <c r="L139" s="561"/>
      <c r="M139" s="676">
        <v>0</v>
      </c>
      <c r="N139" s="677">
        <f>IF($H$137=0, 0,0)</f>
        <v>0</v>
      </c>
      <c r="O139" s="196"/>
      <c r="P139" s="196"/>
      <c r="Q139" s="230"/>
      <c r="R139" s="642"/>
      <c r="S139" s="642"/>
      <c r="T139" s="230"/>
      <c r="U139" s="230"/>
      <c r="V139" s="230"/>
      <c r="W139" s="230"/>
      <c r="X139" s="866"/>
      <c r="Y139" s="866"/>
      <c r="Z139" s="230"/>
      <c r="AA139" s="230"/>
      <c r="AB139" s="230"/>
      <c r="AD139" s="230"/>
      <c r="AE139" s="265"/>
      <c r="AF139" s="265"/>
      <c r="AG139" s="230"/>
      <c r="AH139" s="230"/>
      <c r="AI139" s="265"/>
      <c r="AJ139" s="265"/>
    </row>
    <row r="140" spans="1:57" ht="14.4" hidden="1" thickTop="1" x14ac:dyDescent="0.25">
      <c r="A140" s="539"/>
      <c r="B140" s="539"/>
      <c r="C140" s="539"/>
      <c r="D140" s="539"/>
      <c r="E140" s="539"/>
      <c r="F140" s="539"/>
      <c r="G140" s="539"/>
      <c r="H140" s="539"/>
      <c r="I140" s="561"/>
      <c r="J140" s="561"/>
      <c r="K140" s="561"/>
      <c r="L140" s="561"/>
      <c r="M140" s="676">
        <v>1</v>
      </c>
      <c r="N140" s="677">
        <f>IF($H$137=1, 25000,0)</f>
        <v>0</v>
      </c>
      <c r="O140" s="196"/>
      <c r="P140" s="196"/>
      <c r="Q140" s="230"/>
      <c r="R140" s="642"/>
      <c r="S140" s="642"/>
      <c r="T140" s="230"/>
      <c r="U140" s="230"/>
      <c r="V140" s="230"/>
      <c r="W140" s="230"/>
      <c r="X140" s="866"/>
      <c r="Y140" s="866"/>
      <c r="Z140" s="230"/>
      <c r="AA140" s="230"/>
      <c r="AB140" s="230"/>
      <c r="AD140" s="230"/>
      <c r="AE140" s="265"/>
      <c r="AF140" s="265"/>
      <c r="AG140" s="230"/>
      <c r="AH140" s="230"/>
      <c r="AI140" s="265"/>
      <c r="AJ140" s="265"/>
    </row>
    <row r="141" spans="1:57" ht="14.4" hidden="1" thickTop="1" x14ac:dyDescent="0.25">
      <c r="A141" s="539"/>
      <c r="B141" s="539"/>
      <c r="C141" s="539"/>
      <c r="D141" s="539"/>
      <c r="E141" s="539"/>
      <c r="F141" s="539"/>
      <c r="G141" s="539"/>
      <c r="H141" s="539"/>
      <c r="I141" s="561"/>
      <c r="J141" s="561"/>
      <c r="K141" s="561"/>
      <c r="L141" s="561"/>
      <c r="M141" s="676">
        <v>2</v>
      </c>
      <c r="N141" s="677">
        <f>IF($H$137=2, 50000,0)</f>
        <v>0</v>
      </c>
      <c r="O141" s="196"/>
      <c r="P141" s="196"/>
      <c r="Q141" s="230"/>
      <c r="R141" s="642"/>
      <c r="S141" s="642"/>
      <c r="T141" s="230"/>
      <c r="U141" s="230"/>
      <c r="V141" s="230"/>
      <c r="W141" s="230"/>
      <c r="X141" s="866"/>
      <c r="Y141" s="866"/>
      <c r="Z141" s="230"/>
      <c r="AA141" s="230"/>
      <c r="AB141" s="230"/>
      <c r="AD141" s="230"/>
      <c r="AE141" s="265"/>
      <c r="AF141" s="265"/>
      <c r="AG141" s="230"/>
      <c r="AH141" s="230"/>
      <c r="AI141" s="265"/>
      <c r="AJ141" s="265"/>
    </row>
    <row r="142" spans="1:57" ht="14.4" hidden="1" thickTop="1" x14ac:dyDescent="0.25">
      <c r="A142" s="539"/>
      <c r="B142" s="539"/>
      <c r="C142" s="539"/>
      <c r="D142" s="539"/>
      <c r="E142" s="539"/>
      <c r="F142" s="539"/>
      <c r="G142" s="539"/>
      <c r="H142" s="539"/>
      <c r="I142" s="561"/>
      <c r="J142" s="561"/>
      <c r="K142" s="561"/>
      <c r="L142" s="561"/>
      <c r="M142" s="676">
        <v>3</v>
      </c>
      <c r="N142" s="677">
        <f>IF($H$137=3, 75000,0)</f>
        <v>0</v>
      </c>
      <c r="O142" s="196"/>
      <c r="P142" s="196"/>
      <c r="Q142" s="230"/>
      <c r="R142" s="642"/>
      <c r="S142" s="642"/>
      <c r="T142" s="230"/>
      <c r="U142" s="230"/>
      <c r="V142" s="230"/>
      <c r="W142" s="230"/>
      <c r="X142" s="866"/>
      <c r="Y142" s="866"/>
      <c r="Z142" s="230"/>
      <c r="AA142" s="230"/>
      <c r="AB142" s="230"/>
      <c r="AD142" s="230"/>
      <c r="AE142" s="265"/>
      <c r="AF142" s="265"/>
      <c r="AG142" s="230"/>
      <c r="AH142" s="230"/>
      <c r="AI142" s="265"/>
      <c r="AJ142" s="265"/>
    </row>
    <row r="143" spans="1:57" ht="13.5" hidden="1" customHeight="1" x14ac:dyDescent="0.25">
      <c r="A143" s="539"/>
      <c r="B143" s="539"/>
      <c r="C143" s="539"/>
      <c r="D143" s="539"/>
      <c r="E143" s="539"/>
      <c r="F143" s="539"/>
      <c r="G143" s="539"/>
      <c r="H143" s="539"/>
      <c r="I143" s="561"/>
      <c r="J143" s="561"/>
      <c r="K143" s="561"/>
      <c r="L143" s="561"/>
      <c r="M143" s="676">
        <v>4</v>
      </c>
      <c r="N143" s="677">
        <f>IF($H$137=4, 100000,0)</f>
        <v>0</v>
      </c>
      <c r="O143" s="196"/>
      <c r="P143" s="196"/>
      <c r="Q143" s="230"/>
      <c r="R143" s="642"/>
      <c r="S143" s="642"/>
      <c r="T143" s="230"/>
      <c r="U143" s="230"/>
      <c r="V143" s="230"/>
      <c r="W143" s="230"/>
      <c r="X143" s="866"/>
      <c r="Y143" s="866"/>
      <c r="Z143" s="230"/>
      <c r="AA143" s="230"/>
      <c r="AB143" s="230"/>
      <c r="AD143" s="230"/>
      <c r="AE143" s="265"/>
      <c r="AF143" s="265"/>
      <c r="AG143" s="230"/>
      <c r="AH143" s="230"/>
      <c r="AI143" s="265"/>
      <c r="AJ143" s="265"/>
    </row>
    <row r="144" spans="1:57" ht="13.5" hidden="1" customHeight="1" x14ac:dyDescent="0.25">
      <c r="A144" s="539"/>
      <c r="B144" s="539"/>
      <c r="C144" s="539"/>
      <c r="D144" s="539"/>
      <c r="E144" s="539"/>
      <c r="F144" s="539"/>
      <c r="G144" s="539"/>
      <c r="H144" s="539"/>
      <c r="I144" s="561"/>
      <c r="J144" s="561"/>
      <c r="K144" s="561"/>
      <c r="L144" s="561"/>
      <c r="M144" s="676">
        <v>5</v>
      </c>
      <c r="N144" s="677">
        <f>IF($H$137=5, 125000,0)</f>
        <v>0</v>
      </c>
      <c r="O144" s="196"/>
      <c r="P144" s="196"/>
      <c r="Q144" s="230"/>
      <c r="R144" s="642"/>
      <c r="S144" s="642"/>
      <c r="T144" s="230"/>
      <c r="U144" s="230"/>
      <c r="V144" s="230"/>
      <c r="W144" s="230"/>
      <c r="X144" s="866"/>
      <c r="Y144" s="866"/>
      <c r="Z144" s="230"/>
      <c r="AA144" s="230"/>
      <c r="AB144" s="230"/>
      <c r="AD144" s="230"/>
      <c r="AE144" s="265"/>
      <c r="AF144" s="265"/>
      <c r="AG144" s="230"/>
      <c r="AH144" s="230"/>
      <c r="AI144" s="265"/>
      <c r="AJ144" s="265"/>
    </row>
    <row r="145" spans="1:36" ht="14.4" hidden="1" thickTop="1" x14ac:dyDescent="0.25">
      <c r="A145" s="539"/>
      <c r="B145" s="539"/>
      <c r="C145" s="539"/>
      <c r="D145" s="539"/>
      <c r="E145" s="539"/>
      <c r="F145" s="539"/>
      <c r="G145" s="539"/>
      <c r="H145" s="539"/>
      <c r="I145" s="561"/>
      <c r="J145" s="561"/>
      <c r="K145" s="561"/>
      <c r="L145" s="561"/>
      <c r="M145" s="676">
        <v>6</v>
      </c>
      <c r="N145" s="677">
        <f>IF($H$137=6, 150000,0)</f>
        <v>0</v>
      </c>
      <c r="O145" s="196"/>
      <c r="P145" s="196"/>
      <c r="Q145" s="230"/>
      <c r="R145" s="642"/>
      <c r="S145" s="642"/>
      <c r="T145" s="230"/>
      <c r="U145" s="230"/>
      <c r="V145" s="230"/>
      <c r="W145" s="230"/>
      <c r="X145" s="866"/>
      <c r="Y145" s="866"/>
      <c r="Z145" s="230"/>
      <c r="AA145" s="230"/>
      <c r="AB145" s="230"/>
      <c r="AD145" s="230"/>
      <c r="AE145" s="265"/>
      <c r="AF145" s="265"/>
      <c r="AG145" s="230"/>
      <c r="AH145" s="230"/>
      <c r="AI145" s="265"/>
      <c r="AJ145" s="265"/>
    </row>
    <row r="146" spans="1:36" ht="14.4" hidden="1" thickTop="1" x14ac:dyDescent="0.25">
      <c r="A146" s="539"/>
      <c r="B146" s="539"/>
      <c r="C146" s="539"/>
      <c r="D146" s="539"/>
      <c r="E146" s="539"/>
      <c r="F146" s="539"/>
      <c r="G146" s="539"/>
      <c r="H146" s="539"/>
      <c r="I146" s="561"/>
      <c r="J146" s="561"/>
      <c r="K146" s="561"/>
      <c r="L146" s="561"/>
      <c r="M146" s="676">
        <v>7</v>
      </c>
      <c r="N146" s="677">
        <f>IF($H$137=7, 175000,0)</f>
        <v>0</v>
      </c>
      <c r="O146" s="196"/>
      <c r="P146" s="196"/>
      <c r="Q146" s="230"/>
      <c r="R146" s="642"/>
      <c r="S146" s="642"/>
      <c r="T146" s="230"/>
      <c r="U146" s="230"/>
      <c r="V146" s="230"/>
      <c r="W146" s="230"/>
      <c r="X146" s="866"/>
      <c r="Y146" s="866"/>
      <c r="Z146" s="230"/>
      <c r="AA146" s="230"/>
      <c r="AB146" s="230"/>
      <c r="AD146" s="230"/>
      <c r="AE146" s="265"/>
      <c r="AF146" s="265"/>
      <c r="AG146" s="230"/>
      <c r="AH146" s="230"/>
      <c r="AI146" s="265"/>
      <c r="AJ146" s="265"/>
    </row>
    <row r="147" spans="1:36" ht="14.4" hidden="1" thickTop="1" x14ac:dyDescent="0.25">
      <c r="A147" s="539"/>
      <c r="B147" s="539"/>
      <c r="C147" s="539"/>
      <c r="D147" s="539"/>
      <c r="E147" s="539"/>
      <c r="F147" s="539"/>
      <c r="G147" s="539"/>
      <c r="H147" s="539"/>
      <c r="I147" s="561"/>
      <c r="J147" s="561"/>
      <c r="K147" s="561"/>
      <c r="L147" s="561"/>
      <c r="M147" s="676">
        <v>8</v>
      </c>
      <c r="N147" s="677">
        <f>IF($H$137=8, 200000,0)</f>
        <v>0</v>
      </c>
      <c r="O147" s="196"/>
      <c r="P147" s="196"/>
      <c r="Q147" s="230"/>
      <c r="R147" s="642"/>
      <c r="S147" s="642"/>
      <c r="T147" s="230"/>
      <c r="U147" s="230"/>
      <c r="V147" s="230"/>
      <c r="W147" s="230"/>
      <c r="X147" s="866"/>
      <c r="Y147" s="866"/>
      <c r="Z147" s="230"/>
      <c r="AA147" s="230"/>
      <c r="AB147" s="230"/>
      <c r="AD147" s="230"/>
      <c r="AE147" s="265"/>
      <c r="AF147" s="265"/>
      <c r="AG147" s="230"/>
      <c r="AH147" s="230"/>
      <c r="AI147" s="265"/>
      <c r="AJ147" s="265"/>
    </row>
    <row r="148" spans="1:36" ht="14.4" hidden="1" thickTop="1" x14ac:dyDescent="0.25">
      <c r="A148" s="539"/>
      <c r="B148" s="539"/>
      <c r="C148" s="539"/>
      <c r="D148" s="539"/>
      <c r="E148" s="539"/>
      <c r="F148" s="539"/>
      <c r="G148" s="539"/>
      <c r="H148" s="539"/>
      <c r="I148" s="561"/>
      <c r="J148" s="561"/>
      <c r="K148" s="561"/>
      <c r="L148" s="561"/>
      <c r="M148" s="676">
        <v>9</v>
      </c>
      <c r="N148" s="677">
        <f>IF($H$137=9, 225000,0)</f>
        <v>0</v>
      </c>
      <c r="O148" s="196"/>
      <c r="P148" s="196"/>
      <c r="Q148" s="230"/>
      <c r="R148" s="642"/>
      <c r="S148" s="642"/>
      <c r="T148" s="230"/>
      <c r="U148" s="230"/>
      <c r="V148" s="230"/>
      <c r="W148" s="230"/>
      <c r="X148" s="866"/>
      <c r="Y148" s="866"/>
      <c r="Z148" s="230"/>
      <c r="AA148" s="230"/>
      <c r="AB148" s="230"/>
      <c r="AD148" s="230"/>
      <c r="AE148" s="265"/>
      <c r="AF148" s="265"/>
      <c r="AG148" s="230"/>
      <c r="AH148" s="230"/>
      <c r="AI148" s="265"/>
      <c r="AJ148" s="265"/>
    </row>
    <row r="149" spans="1:36" ht="14.4" hidden="1" thickTop="1" x14ac:dyDescent="0.25">
      <c r="A149" s="539"/>
      <c r="B149" s="539"/>
      <c r="C149" s="539"/>
      <c r="D149" s="539"/>
      <c r="E149" s="539"/>
      <c r="F149" s="539"/>
      <c r="G149" s="539"/>
      <c r="H149" s="539"/>
      <c r="I149" s="561"/>
      <c r="J149" s="561"/>
      <c r="K149" s="561"/>
      <c r="L149" s="561"/>
      <c r="M149" s="676">
        <v>10</v>
      </c>
      <c r="N149" s="677">
        <f>IF($H$137=10, 250000,0)</f>
        <v>0</v>
      </c>
      <c r="O149" s="196"/>
      <c r="P149" s="196"/>
      <c r="Q149" s="230"/>
      <c r="R149" s="642"/>
      <c r="S149" s="642"/>
      <c r="T149" s="230"/>
      <c r="U149" s="230"/>
      <c r="V149" s="230"/>
      <c r="W149" s="230"/>
      <c r="X149" s="866"/>
      <c r="Y149" s="866"/>
      <c r="Z149" s="230"/>
      <c r="AA149" s="230"/>
      <c r="AB149" s="230"/>
      <c r="AD149" s="230"/>
      <c r="AE149" s="265"/>
      <c r="AF149" s="265"/>
      <c r="AG149" s="230"/>
      <c r="AH149" s="230"/>
      <c r="AI149" s="265"/>
      <c r="AJ149" s="265"/>
    </row>
    <row r="150" spans="1:36" ht="14.4" hidden="1" thickTop="1" x14ac:dyDescent="0.25">
      <c r="A150" s="539"/>
      <c r="B150" s="539"/>
      <c r="C150" s="539"/>
      <c r="D150" s="539"/>
      <c r="E150" s="539"/>
      <c r="F150" s="539"/>
      <c r="G150" s="539"/>
      <c r="H150" s="539"/>
      <c r="I150" s="561"/>
      <c r="J150" s="561"/>
      <c r="K150" s="561"/>
      <c r="L150" s="561"/>
      <c r="M150" s="676">
        <v>11</v>
      </c>
      <c r="N150" s="677">
        <f>IF($H$137=11, 275000,0)</f>
        <v>0</v>
      </c>
      <c r="O150" s="196"/>
      <c r="P150" s="196"/>
      <c r="Q150" s="230"/>
      <c r="R150" s="642"/>
      <c r="S150" s="642"/>
      <c r="T150" s="230"/>
      <c r="U150" s="230"/>
      <c r="V150" s="230"/>
      <c r="W150" s="230"/>
      <c r="X150" s="866"/>
      <c r="Y150" s="866"/>
      <c r="Z150" s="230"/>
      <c r="AA150" s="230"/>
      <c r="AB150" s="230"/>
      <c r="AD150" s="230"/>
      <c r="AE150" s="265"/>
      <c r="AF150" s="265"/>
      <c r="AG150" s="230"/>
      <c r="AH150" s="230"/>
      <c r="AI150" s="265"/>
      <c r="AJ150" s="265"/>
    </row>
    <row r="151" spans="1:36" ht="14.4" hidden="1" thickTop="1" x14ac:dyDescent="0.25">
      <c r="A151" s="539"/>
      <c r="B151" s="539"/>
      <c r="C151" s="539"/>
      <c r="D151" s="539"/>
      <c r="E151" s="539"/>
      <c r="F151" s="539"/>
      <c r="G151" s="539"/>
      <c r="H151" s="539"/>
      <c r="I151" s="561"/>
      <c r="J151" s="561"/>
      <c r="K151" s="561"/>
      <c r="L151" s="561"/>
      <c r="M151" s="676">
        <v>12</v>
      </c>
      <c r="N151" s="677">
        <f>IF($H$137=12, 300000,0)</f>
        <v>0</v>
      </c>
      <c r="O151" s="196"/>
      <c r="P151" s="196"/>
      <c r="Q151" s="230"/>
      <c r="R151" s="642"/>
      <c r="S151" s="642"/>
      <c r="T151" s="230"/>
      <c r="U151" s="230"/>
      <c r="V151" s="230"/>
      <c r="W151" s="230"/>
      <c r="X151" s="866"/>
      <c r="Y151" s="866"/>
      <c r="Z151" s="230"/>
      <c r="AA151" s="230"/>
      <c r="AB151" s="230"/>
      <c r="AD151" s="230"/>
      <c r="AE151" s="265"/>
      <c r="AF151" s="265"/>
      <c r="AG151" s="230"/>
      <c r="AH151" s="230"/>
      <c r="AI151" s="265"/>
      <c r="AJ151" s="265"/>
    </row>
    <row r="152" spans="1:36" ht="14.4" hidden="1" thickTop="1" x14ac:dyDescent="0.25">
      <c r="A152" s="539"/>
      <c r="B152" s="539"/>
      <c r="C152" s="539"/>
      <c r="D152" s="539"/>
      <c r="E152" s="539"/>
      <c r="F152" s="539"/>
      <c r="G152" s="539"/>
      <c r="H152" s="539"/>
      <c r="I152" s="561"/>
      <c r="J152" s="561"/>
      <c r="K152" s="561"/>
      <c r="L152" s="561"/>
      <c r="M152" s="676">
        <v>13</v>
      </c>
      <c r="N152" s="677">
        <f>IF($H$137=13, 325000,0)</f>
        <v>0</v>
      </c>
      <c r="O152" s="196"/>
      <c r="P152" s="196"/>
      <c r="Q152" s="230"/>
      <c r="R152" s="642"/>
      <c r="S152" s="642"/>
      <c r="T152" s="230"/>
      <c r="U152" s="230"/>
      <c r="V152" s="230"/>
      <c r="W152" s="230"/>
      <c r="X152" s="866"/>
      <c r="Y152" s="866"/>
      <c r="Z152" s="230"/>
      <c r="AA152" s="230"/>
      <c r="AB152" s="230"/>
      <c r="AD152" s="230"/>
      <c r="AE152" s="265"/>
      <c r="AF152" s="265"/>
      <c r="AG152" s="230"/>
      <c r="AH152" s="230"/>
      <c r="AI152" s="265"/>
      <c r="AJ152" s="265"/>
    </row>
    <row r="153" spans="1:36" ht="14.4" hidden="1" thickTop="1" x14ac:dyDescent="0.25">
      <c r="A153" s="539"/>
      <c r="B153" s="539"/>
      <c r="C153" s="539"/>
      <c r="D153" s="539"/>
      <c r="E153" s="539"/>
      <c r="F153" s="539"/>
      <c r="G153" s="539"/>
      <c r="H153" s="539"/>
      <c r="I153" s="561"/>
      <c r="J153" s="561"/>
      <c r="K153" s="561"/>
      <c r="L153" s="561"/>
      <c r="M153" s="676">
        <v>14</v>
      </c>
      <c r="N153" s="677">
        <f>IF($H$137=14, 350000,0)</f>
        <v>0</v>
      </c>
      <c r="O153" s="196"/>
      <c r="P153" s="196"/>
      <c r="Q153" s="230"/>
      <c r="R153" s="642"/>
      <c r="S153" s="642"/>
      <c r="T153" s="230"/>
      <c r="U153" s="230"/>
      <c r="V153" s="230"/>
      <c r="W153" s="230"/>
      <c r="X153" s="866"/>
      <c r="Y153" s="866"/>
      <c r="Z153" s="230"/>
      <c r="AA153" s="230"/>
      <c r="AB153" s="230"/>
      <c r="AD153" s="230"/>
      <c r="AE153" s="265"/>
      <c r="AF153" s="265"/>
      <c r="AG153" s="230"/>
      <c r="AH153" s="230"/>
      <c r="AI153" s="265"/>
      <c r="AJ153" s="265"/>
    </row>
    <row r="154" spans="1:36" ht="14.4" hidden="1" thickTop="1" x14ac:dyDescent="0.25">
      <c r="A154" s="539"/>
      <c r="B154" s="539"/>
      <c r="C154" s="539"/>
      <c r="D154" s="539"/>
      <c r="E154" s="539"/>
      <c r="F154" s="539"/>
      <c r="G154" s="539"/>
      <c r="H154" s="539"/>
      <c r="I154" s="561"/>
      <c r="J154" s="561"/>
      <c r="K154" s="561"/>
      <c r="L154" s="561"/>
      <c r="M154" s="676">
        <v>15</v>
      </c>
      <c r="N154" s="677">
        <f>IF($H$137=15, 375000,0)</f>
        <v>0</v>
      </c>
      <c r="O154" s="196"/>
      <c r="P154" s="196"/>
      <c r="Q154" s="230"/>
      <c r="R154" s="642"/>
      <c r="S154" s="642"/>
      <c r="T154" s="230"/>
      <c r="U154" s="230"/>
      <c r="V154" s="230"/>
      <c r="W154" s="230"/>
      <c r="X154" s="866"/>
      <c r="Y154" s="866"/>
      <c r="Z154" s="230"/>
      <c r="AA154" s="230"/>
      <c r="AB154" s="230"/>
      <c r="AD154" s="230"/>
      <c r="AE154" s="265"/>
      <c r="AF154" s="265"/>
      <c r="AG154" s="230"/>
      <c r="AH154" s="230"/>
      <c r="AI154" s="265"/>
      <c r="AJ154" s="265"/>
    </row>
    <row r="155" spans="1:36" ht="14.4" hidden="1" thickTop="1" x14ac:dyDescent="0.25">
      <c r="A155" s="539"/>
      <c r="B155" s="539"/>
      <c r="C155" s="539"/>
      <c r="D155" s="539"/>
      <c r="E155" s="539"/>
      <c r="F155" s="539"/>
      <c r="G155" s="539"/>
      <c r="H155" s="539"/>
      <c r="I155" s="561"/>
      <c r="J155" s="561"/>
      <c r="K155" s="561"/>
      <c r="L155" s="561"/>
      <c r="M155" s="676">
        <v>16</v>
      </c>
      <c r="N155" s="677">
        <f>IF($H$137=16, 400000,0)</f>
        <v>0</v>
      </c>
      <c r="O155" s="196"/>
      <c r="P155" s="196"/>
      <c r="Q155" s="230"/>
      <c r="R155" s="642"/>
      <c r="S155" s="642"/>
      <c r="T155" s="230"/>
      <c r="U155" s="230"/>
      <c r="V155" s="230"/>
      <c r="W155" s="230"/>
      <c r="X155" s="866"/>
      <c r="Y155" s="866"/>
      <c r="Z155" s="230"/>
      <c r="AA155" s="230"/>
      <c r="AB155" s="230"/>
      <c r="AD155" s="230"/>
      <c r="AE155" s="265"/>
      <c r="AF155" s="265"/>
      <c r="AG155" s="230"/>
      <c r="AH155" s="230"/>
      <c r="AI155" s="265"/>
      <c r="AJ155" s="265"/>
    </row>
    <row r="156" spans="1:36" ht="14.4" hidden="1" thickTop="1" x14ac:dyDescent="0.25">
      <c r="A156" s="539"/>
      <c r="B156" s="539"/>
      <c r="C156" s="539"/>
      <c r="D156" s="539"/>
      <c r="E156" s="539"/>
      <c r="F156" s="539"/>
      <c r="G156" s="539"/>
      <c r="H156" s="539"/>
      <c r="I156" s="561"/>
      <c r="J156" s="561"/>
      <c r="K156" s="561"/>
      <c r="L156" s="561"/>
      <c r="M156" s="561">
        <v>17</v>
      </c>
      <c r="N156" s="677">
        <f>IF($H$137=17, 425000,0)</f>
        <v>0</v>
      </c>
      <c r="O156" s="196"/>
      <c r="P156" s="196"/>
      <c r="Q156" s="230"/>
      <c r="R156" s="642"/>
      <c r="S156" s="642"/>
      <c r="T156" s="230"/>
      <c r="U156" s="230"/>
      <c r="V156" s="230"/>
      <c r="W156" s="230"/>
      <c r="X156" s="866"/>
      <c r="Y156" s="866"/>
      <c r="Z156" s="230"/>
      <c r="AA156" s="230"/>
      <c r="AB156" s="230"/>
      <c r="AD156" s="230"/>
      <c r="AE156" s="265"/>
      <c r="AF156" s="265"/>
      <c r="AG156" s="230"/>
      <c r="AH156" s="230"/>
      <c r="AI156" s="265"/>
      <c r="AJ156" s="265"/>
    </row>
    <row r="157" spans="1:36" ht="14.4" hidden="1" thickTop="1" x14ac:dyDescent="0.25">
      <c r="A157" s="539"/>
      <c r="B157" s="539"/>
      <c r="C157" s="539"/>
      <c r="D157" s="539"/>
      <c r="E157" s="539"/>
      <c r="F157" s="539"/>
      <c r="G157" s="539"/>
      <c r="H157" s="539"/>
      <c r="I157" s="561"/>
      <c r="J157" s="561"/>
      <c r="K157" s="561"/>
      <c r="L157" s="561"/>
      <c r="M157" s="561">
        <v>18</v>
      </c>
      <c r="N157" s="677">
        <f>IF($H$137=18, 450000,0)</f>
        <v>0</v>
      </c>
      <c r="O157" s="196"/>
      <c r="P157" s="196"/>
      <c r="Q157" s="230"/>
      <c r="R157" s="642"/>
      <c r="S157" s="642"/>
      <c r="T157" s="230"/>
      <c r="U157" s="230"/>
      <c r="V157" s="230"/>
      <c r="W157" s="230"/>
      <c r="X157" s="866"/>
      <c r="Y157" s="866"/>
      <c r="Z157" s="230"/>
      <c r="AA157" s="230"/>
      <c r="AB157" s="230"/>
      <c r="AD157" s="230"/>
      <c r="AE157" s="265"/>
      <c r="AF157" s="265"/>
      <c r="AG157" s="230"/>
      <c r="AH157" s="230"/>
      <c r="AI157" s="265"/>
      <c r="AJ157" s="265"/>
    </row>
    <row r="158" spans="1:36" ht="14.4" hidden="1" thickTop="1" x14ac:dyDescent="0.25">
      <c r="A158" s="539"/>
      <c r="B158" s="539"/>
      <c r="C158" s="539"/>
      <c r="D158" s="539"/>
      <c r="E158" s="539"/>
      <c r="F158" s="539"/>
      <c r="G158" s="539"/>
      <c r="H158" s="539"/>
      <c r="I158" s="561"/>
      <c r="J158" s="561"/>
      <c r="K158" s="561"/>
      <c r="L158" s="561"/>
      <c r="M158" s="561">
        <v>19</v>
      </c>
      <c r="N158" s="677">
        <f>IF($H$137=19, 475000,0)</f>
        <v>0</v>
      </c>
      <c r="O158" s="196"/>
      <c r="P158" s="196"/>
      <c r="Q158" s="230"/>
      <c r="R158" s="642"/>
      <c r="S158" s="642"/>
      <c r="T158" s="230"/>
      <c r="U158" s="230"/>
      <c r="V158" s="230"/>
      <c r="W158" s="230"/>
      <c r="X158" s="866"/>
      <c r="Y158" s="866"/>
      <c r="Z158" s="230"/>
      <c r="AA158" s="230"/>
      <c r="AB158" s="230"/>
      <c r="AD158" s="230"/>
      <c r="AE158" s="265"/>
      <c r="AF158" s="265"/>
      <c r="AG158" s="230"/>
      <c r="AH158" s="230"/>
      <c r="AI158" s="265"/>
      <c r="AJ158" s="265"/>
    </row>
    <row r="159" spans="1:36" ht="14.4" hidden="1" thickTop="1" x14ac:dyDescent="0.25">
      <c r="A159" s="539"/>
      <c r="B159" s="539"/>
      <c r="C159" s="539"/>
      <c r="D159" s="539"/>
      <c r="E159" s="539"/>
      <c r="F159" s="539"/>
      <c r="G159" s="539"/>
      <c r="H159" s="539"/>
      <c r="I159" s="561"/>
      <c r="J159" s="561"/>
      <c r="K159" s="561"/>
      <c r="L159" s="561"/>
      <c r="M159" s="561">
        <v>20</v>
      </c>
      <c r="N159" s="677">
        <f>IF($H$137=20, 500000,0)</f>
        <v>0</v>
      </c>
      <c r="O159" s="196"/>
      <c r="P159" s="196"/>
      <c r="Q159" s="230"/>
      <c r="R159" s="642"/>
      <c r="S159" s="642"/>
      <c r="T159" s="230"/>
      <c r="U159" s="230"/>
      <c r="V159" s="230"/>
      <c r="W159" s="230"/>
      <c r="X159" s="866"/>
      <c r="Y159" s="866"/>
      <c r="Z159" s="230"/>
      <c r="AA159" s="230"/>
      <c r="AB159" s="230"/>
      <c r="AD159" s="230"/>
      <c r="AE159" s="265"/>
      <c r="AF159" s="265"/>
      <c r="AG159" s="230"/>
      <c r="AH159" s="230"/>
      <c r="AI159" s="265"/>
      <c r="AJ159" s="265"/>
    </row>
    <row r="160" spans="1:36" ht="14.4" hidden="1" thickTop="1" x14ac:dyDescent="0.25">
      <c r="A160" s="539"/>
      <c r="B160" s="539"/>
      <c r="C160" s="539"/>
      <c r="D160" s="539"/>
      <c r="E160" s="539"/>
      <c r="F160" s="539"/>
      <c r="G160" s="539"/>
      <c r="H160" s="539"/>
      <c r="I160" s="561"/>
      <c r="J160" s="561"/>
      <c r="K160" s="561"/>
      <c r="L160" s="561"/>
      <c r="M160" s="561">
        <v>21</v>
      </c>
      <c r="N160" s="677">
        <f>IF($H$137=21, 525000,0)</f>
        <v>0</v>
      </c>
      <c r="O160" s="196"/>
      <c r="P160" s="196"/>
      <c r="Q160" s="230"/>
      <c r="R160" s="642"/>
      <c r="S160" s="642"/>
      <c r="T160" s="230"/>
      <c r="U160" s="230"/>
      <c r="V160" s="230"/>
      <c r="W160" s="230"/>
      <c r="X160" s="866"/>
      <c r="Y160" s="866"/>
      <c r="Z160" s="230"/>
      <c r="AA160" s="230"/>
      <c r="AB160" s="230"/>
      <c r="AD160" s="230"/>
      <c r="AE160" s="265"/>
      <c r="AF160" s="265"/>
      <c r="AG160" s="230"/>
      <c r="AH160" s="230"/>
      <c r="AI160" s="265"/>
      <c r="AJ160" s="265"/>
    </row>
    <row r="161" spans="1:36" ht="14.4" hidden="1" thickTop="1" x14ac:dyDescent="0.25">
      <c r="A161" s="539"/>
      <c r="B161" s="539"/>
      <c r="C161" s="539"/>
      <c r="D161" s="539"/>
      <c r="E161" s="539"/>
      <c r="F161" s="539"/>
      <c r="G161" s="539"/>
      <c r="H161" s="539"/>
      <c r="I161" s="561"/>
      <c r="J161" s="561"/>
      <c r="K161" s="561"/>
      <c r="L161" s="561"/>
      <c r="M161" s="561">
        <v>22</v>
      </c>
      <c r="N161" s="677">
        <f>IF($H$137=22, 555000,0)</f>
        <v>0</v>
      </c>
      <c r="O161" s="196"/>
      <c r="P161" s="196"/>
      <c r="Q161" s="230"/>
      <c r="R161" s="642"/>
      <c r="S161" s="642"/>
      <c r="T161" s="230"/>
      <c r="U161" s="230"/>
      <c r="V161" s="230"/>
      <c r="W161" s="230"/>
      <c r="X161" s="866"/>
      <c r="Y161" s="866"/>
      <c r="Z161" s="230"/>
      <c r="AA161" s="230"/>
      <c r="AB161" s="230"/>
      <c r="AD161" s="230"/>
      <c r="AE161" s="265"/>
      <c r="AF161" s="265"/>
      <c r="AG161" s="230"/>
      <c r="AH161" s="230"/>
      <c r="AI161" s="265"/>
      <c r="AJ161" s="265"/>
    </row>
    <row r="162" spans="1:36" ht="14.4" hidden="1" thickTop="1" x14ac:dyDescent="0.25">
      <c r="A162" s="539"/>
      <c r="B162" s="539"/>
      <c r="C162" s="539"/>
      <c r="D162" s="539"/>
      <c r="E162" s="539"/>
      <c r="F162" s="539"/>
      <c r="G162" s="539"/>
      <c r="H162" s="539"/>
      <c r="I162" s="561"/>
      <c r="J162" s="561"/>
      <c r="K162" s="561"/>
      <c r="L162" s="561"/>
      <c r="M162" s="561">
        <v>23</v>
      </c>
      <c r="N162" s="677">
        <f>IF($H$137=23, 575000,0)</f>
        <v>0</v>
      </c>
      <c r="O162" s="196"/>
      <c r="P162" s="196"/>
      <c r="Q162" s="230"/>
      <c r="R162" s="642"/>
      <c r="S162" s="642"/>
      <c r="T162" s="230"/>
      <c r="U162" s="230"/>
      <c r="V162" s="230"/>
      <c r="W162" s="230"/>
      <c r="X162" s="866"/>
      <c r="Y162" s="866"/>
      <c r="Z162" s="230"/>
      <c r="AA162" s="230"/>
      <c r="AB162" s="230"/>
      <c r="AD162" s="230"/>
      <c r="AE162" s="265"/>
      <c r="AF162" s="265"/>
      <c r="AG162" s="230"/>
      <c r="AH162" s="230"/>
      <c r="AI162" s="265"/>
      <c r="AJ162" s="265"/>
    </row>
    <row r="163" spans="1:36" ht="14.4" hidden="1" thickTop="1" x14ac:dyDescent="0.25">
      <c r="A163" s="539"/>
      <c r="B163" s="539"/>
      <c r="C163" s="539"/>
      <c r="D163" s="539"/>
      <c r="E163" s="539"/>
      <c r="F163" s="539"/>
      <c r="G163" s="539"/>
      <c r="H163" s="539"/>
      <c r="I163" s="561"/>
      <c r="J163" s="561"/>
      <c r="K163" s="561"/>
      <c r="L163" s="561"/>
      <c r="M163" s="561">
        <v>24</v>
      </c>
      <c r="N163" s="677">
        <f>IF($H$137=24, 600000,0)</f>
        <v>0</v>
      </c>
      <c r="O163" s="196"/>
      <c r="P163" s="196"/>
      <c r="Q163" s="230"/>
      <c r="R163" s="642"/>
      <c r="S163" s="642"/>
      <c r="T163" s="230"/>
      <c r="U163" s="230"/>
      <c r="V163" s="230"/>
      <c r="W163" s="230"/>
      <c r="X163" s="866"/>
      <c r="Y163" s="866"/>
      <c r="Z163" s="230"/>
      <c r="AA163" s="230"/>
      <c r="AB163" s="230"/>
      <c r="AD163" s="230"/>
      <c r="AE163" s="265"/>
      <c r="AF163" s="265"/>
      <c r="AG163" s="230"/>
      <c r="AH163" s="230"/>
      <c r="AI163" s="265"/>
      <c r="AJ163" s="265"/>
    </row>
    <row r="164" spans="1:36" ht="14.4" hidden="1" thickTop="1" x14ac:dyDescent="0.25">
      <c r="A164" s="539"/>
      <c r="B164" s="539"/>
      <c r="C164" s="539"/>
      <c r="D164" s="539"/>
      <c r="E164" s="539"/>
      <c r="F164" s="539"/>
      <c r="G164" s="539"/>
      <c r="H164" s="539"/>
      <c r="I164" s="561"/>
      <c r="J164" s="561"/>
      <c r="K164" s="561"/>
      <c r="L164" s="561"/>
      <c r="M164" s="561">
        <v>25</v>
      </c>
      <c r="N164" s="677">
        <f>IF($H$137=25, 625000,0)</f>
        <v>0</v>
      </c>
      <c r="O164" s="196"/>
      <c r="P164" s="196"/>
      <c r="Q164" s="230"/>
      <c r="R164" s="642"/>
      <c r="S164" s="642"/>
      <c r="T164" s="230"/>
      <c r="U164" s="230"/>
      <c r="V164" s="230"/>
      <c r="W164" s="230"/>
      <c r="X164" s="866"/>
      <c r="Y164" s="866"/>
      <c r="Z164" s="230"/>
      <c r="AA164" s="230"/>
      <c r="AB164" s="230"/>
      <c r="AD164" s="230"/>
      <c r="AE164" s="265"/>
      <c r="AF164" s="265"/>
      <c r="AG164" s="230"/>
      <c r="AH164" s="230"/>
      <c r="AI164" s="265"/>
      <c r="AJ164" s="265"/>
    </row>
    <row r="165" spans="1:36" ht="14.4" hidden="1" thickTop="1" x14ac:dyDescent="0.25">
      <c r="A165" s="539"/>
      <c r="B165" s="539"/>
      <c r="C165" s="539"/>
      <c r="D165" s="539"/>
      <c r="E165" s="539"/>
      <c r="F165" s="539"/>
      <c r="G165" s="539"/>
      <c r="H165" s="539"/>
      <c r="I165" s="561"/>
      <c r="J165" s="561"/>
      <c r="K165" s="561"/>
      <c r="L165" s="561"/>
      <c r="M165" s="561"/>
      <c r="N165" s="677"/>
      <c r="O165" s="196"/>
      <c r="P165" s="196"/>
      <c r="Q165" s="230"/>
      <c r="R165" s="642"/>
      <c r="S165" s="642"/>
      <c r="T165" s="230"/>
      <c r="U165" s="230"/>
      <c r="V165" s="230"/>
      <c r="W165" s="230"/>
      <c r="X165" s="866"/>
      <c r="Y165" s="866"/>
      <c r="Z165" s="230"/>
      <c r="AA165" s="230"/>
      <c r="AB165" s="230"/>
      <c r="AD165" s="230"/>
      <c r="AE165" s="265"/>
      <c r="AF165" s="265"/>
      <c r="AG165" s="230"/>
      <c r="AH165" s="230"/>
      <c r="AI165" s="265"/>
      <c r="AJ165" s="265"/>
    </row>
    <row r="166" spans="1:36" ht="15" thickTop="1" thickBot="1" x14ac:dyDescent="0.3">
      <c r="A166" s="453"/>
      <c r="B166" s="453"/>
      <c r="C166" s="453"/>
      <c r="D166" s="453"/>
      <c r="E166" s="453"/>
      <c r="F166" s="453"/>
      <c r="G166" s="328"/>
      <c r="H166" s="328"/>
      <c r="I166" s="328"/>
      <c r="J166" s="328"/>
      <c r="K166" s="328"/>
      <c r="L166" s="328"/>
      <c r="M166" s="328"/>
      <c r="N166" s="443"/>
      <c r="O166" s="90"/>
      <c r="P166" s="90"/>
      <c r="Q166" s="230"/>
      <c r="R166" s="642"/>
      <c r="S166" s="642"/>
      <c r="T166" s="230"/>
      <c r="U166" s="230"/>
      <c r="V166" s="230"/>
      <c r="W166" s="230"/>
      <c r="X166" s="866"/>
      <c r="Y166" s="866"/>
      <c r="Z166" s="230"/>
      <c r="AA166" s="230"/>
      <c r="AB166" s="230"/>
      <c r="AD166" s="230"/>
      <c r="AE166" s="265"/>
      <c r="AF166" s="265"/>
      <c r="AG166" s="230"/>
      <c r="AH166" s="230"/>
      <c r="AI166" s="265"/>
      <c r="AJ166" s="265"/>
    </row>
    <row r="167" spans="1:36" ht="15.6" thickTop="1" thickBot="1" x14ac:dyDescent="0.35">
      <c r="A167" s="1226" t="s">
        <v>427</v>
      </c>
      <c r="B167" s="1226"/>
      <c r="C167" s="319"/>
      <c r="D167" s="319"/>
      <c r="E167" s="319"/>
      <c r="F167" s="319"/>
      <c r="G167" s="319"/>
      <c r="H167" s="321" t="s">
        <v>60</v>
      </c>
      <c r="I167" s="320"/>
      <c r="J167" s="320"/>
      <c r="K167" s="458"/>
      <c r="L167" s="320"/>
      <c r="M167" s="320"/>
      <c r="N167" s="1094" t="s">
        <v>226</v>
      </c>
      <c r="O167" s="192"/>
      <c r="P167" s="192"/>
      <c r="Q167" s="230"/>
      <c r="R167" s="642"/>
      <c r="S167" s="642"/>
      <c r="T167" s="230"/>
      <c r="U167" s="230"/>
      <c r="V167" s="230"/>
      <c r="W167" s="230"/>
      <c r="X167" s="866"/>
      <c r="Y167" s="866"/>
      <c r="Z167" s="230"/>
      <c r="AA167" s="230"/>
      <c r="AB167" s="230"/>
      <c r="AD167" s="230"/>
      <c r="AE167" s="265"/>
      <c r="AF167" s="265"/>
      <c r="AG167" s="230"/>
      <c r="AH167" s="230"/>
      <c r="AI167" s="265"/>
      <c r="AJ167" s="265"/>
    </row>
    <row r="168" spans="1:36" ht="14.4" thickTop="1" x14ac:dyDescent="0.25">
      <c r="A168" s="1226" t="s">
        <v>329</v>
      </c>
      <c r="B168" s="1226"/>
      <c r="C168" s="319"/>
      <c r="D168" s="319"/>
      <c r="E168" s="319"/>
      <c r="F168" s="319"/>
      <c r="G168" s="320"/>
      <c r="H168" s="320"/>
      <c r="I168" s="320"/>
      <c r="J168" s="320"/>
      <c r="K168" s="320"/>
      <c r="L168" s="438"/>
      <c r="M168" s="320"/>
      <c r="N168" s="438"/>
      <c r="O168" s="90"/>
      <c r="P168" s="90"/>
      <c r="Q168" s="230"/>
      <c r="R168" s="642"/>
      <c r="S168" s="642"/>
      <c r="T168" s="230"/>
      <c r="U168" s="230"/>
      <c r="V168" s="230"/>
      <c r="W168" s="230"/>
      <c r="X168" s="866"/>
      <c r="Y168" s="866"/>
      <c r="Z168" s="230"/>
      <c r="AA168" s="230"/>
      <c r="AB168" s="230"/>
      <c r="AD168" s="230"/>
      <c r="AE168" s="265"/>
      <c r="AF168" s="265"/>
      <c r="AG168" s="230"/>
      <c r="AH168" s="230"/>
      <c r="AI168" s="265"/>
      <c r="AJ168" s="265"/>
    </row>
    <row r="169" spans="1:36" x14ac:dyDescent="0.25">
      <c r="A169" s="1226" t="s">
        <v>339</v>
      </c>
      <c r="B169" s="1226"/>
      <c r="C169" s="319"/>
      <c r="D169" s="319"/>
      <c r="E169" s="319"/>
      <c r="F169" s="319"/>
      <c r="G169" s="320"/>
      <c r="H169" s="320"/>
      <c r="I169" s="320"/>
      <c r="J169" s="320"/>
      <c r="K169" s="320"/>
      <c r="L169" s="438"/>
      <c r="M169" s="320"/>
      <c r="N169" s="438"/>
      <c r="O169" s="90"/>
      <c r="P169" s="90"/>
      <c r="Q169" s="230"/>
      <c r="R169" s="642"/>
      <c r="S169" s="642"/>
      <c r="T169" s="230"/>
      <c r="U169" s="230"/>
      <c r="V169" s="230"/>
      <c r="W169" s="230"/>
      <c r="X169" s="866"/>
      <c r="Y169" s="866"/>
      <c r="Z169" s="230"/>
      <c r="AA169" s="230"/>
      <c r="AB169" s="230"/>
      <c r="AD169" s="230"/>
      <c r="AE169" s="265"/>
      <c r="AF169" s="265"/>
      <c r="AG169" s="230"/>
      <c r="AH169" s="230"/>
      <c r="AI169" s="265"/>
      <c r="AJ169" s="265"/>
    </row>
    <row r="170" spans="1:36" ht="23.25" customHeight="1" thickBot="1" x14ac:dyDescent="0.3">
      <c r="A170" s="1226" t="s">
        <v>340</v>
      </c>
      <c r="B170" s="1226"/>
      <c r="C170" s="319"/>
      <c r="D170" s="319"/>
      <c r="E170" s="319"/>
      <c r="F170" s="319"/>
      <c r="G170" s="320"/>
      <c r="H170" s="320"/>
      <c r="I170" s="320"/>
      <c r="J170" s="320"/>
      <c r="K170" s="320"/>
      <c r="L170" s="438"/>
      <c r="M170" s="320"/>
      <c r="N170" s="320"/>
      <c r="O170" s="23"/>
      <c r="P170" s="23"/>
      <c r="Q170" s="230"/>
      <c r="R170" s="642"/>
      <c r="S170" s="642"/>
      <c r="T170" s="230"/>
      <c r="U170" s="230"/>
      <c r="V170" s="230"/>
      <c r="W170" s="230"/>
      <c r="X170" s="866"/>
      <c r="Y170" s="866"/>
      <c r="Z170" s="230"/>
      <c r="AA170" s="230"/>
      <c r="AB170" s="230"/>
      <c r="AD170" s="230"/>
      <c r="AE170" s="265"/>
      <c r="AF170" s="265"/>
      <c r="AG170" s="230"/>
      <c r="AH170" s="230"/>
      <c r="AI170" s="265"/>
      <c r="AJ170" s="265"/>
    </row>
    <row r="171" spans="1:36" ht="15" thickTop="1" thickBot="1" x14ac:dyDescent="0.3">
      <c r="A171" s="1226" t="s">
        <v>365</v>
      </c>
      <c r="B171" s="1226"/>
      <c r="C171" s="320"/>
      <c r="D171" s="320"/>
      <c r="E171" s="320"/>
      <c r="F171" s="320"/>
      <c r="G171" s="320"/>
      <c r="H171" s="320"/>
      <c r="I171" s="320"/>
      <c r="J171" s="320"/>
      <c r="K171" s="320"/>
      <c r="L171" s="459"/>
      <c r="M171" s="320"/>
      <c r="N171" s="460"/>
      <c r="O171" s="197"/>
      <c r="P171" s="197"/>
      <c r="Q171" s="230"/>
      <c r="R171" s="642"/>
      <c r="S171" s="642"/>
      <c r="T171" s="230"/>
      <c r="U171" s="230"/>
      <c r="V171" s="230"/>
      <c r="W171" s="230"/>
      <c r="X171" s="866"/>
      <c r="Y171" s="866"/>
      <c r="Z171" s="230"/>
      <c r="AA171" s="230"/>
      <c r="AB171" s="230"/>
      <c r="AD171" s="230"/>
      <c r="AE171" s="265"/>
      <c r="AF171" s="265"/>
      <c r="AG171" s="230"/>
      <c r="AH171" s="230"/>
      <c r="AI171" s="265"/>
      <c r="AJ171" s="265"/>
    </row>
    <row r="172" spans="1:36" ht="15.6" thickTop="1" thickBot="1" x14ac:dyDescent="0.35">
      <c r="A172" s="1228" t="s">
        <v>366</v>
      </c>
      <c r="B172" s="1228"/>
      <c r="C172" s="319"/>
      <c r="D172" s="319"/>
      <c r="E172" s="319"/>
      <c r="F172" s="319"/>
      <c r="G172" s="320"/>
      <c r="H172" s="320"/>
      <c r="I172" s="319"/>
      <c r="J172" s="319"/>
      <c r="K172" s="320"/>
      <c r="L172" s="459"/>
      <c r="M172" s="320"/>
      <c r="N172" s="460"/>
      <c r="O172" s="197"/>
      <c r="P172" s="197"/>
      <c r="Q172" s="230"/>
      <c r="R172" s="642"/>
      <c r="S172" s="642"/>
      <c r="T172" s="230"/>
      <c r="U172" s="230"/>
      <c r="V172" s="230"/>
      <c r="W172" s="230"/>
      <c r="X172" s="866"/>
      <c r="Y172" s="866"/>
      <c r="Z172" s="230"/>
      <c r="AA172" s="230"/>
      <c r="AB172" s="230"/>
      <c r="AD172" s="230"/>
      <c r="AE172" s="265"/>
      <c r="AF172" s="265"/>
      <c r="AG172" s="230"/>
      <c r="AH172" s="230"/>
      <c r="AI172" s="265"/>
      <c r="AJ172" s="265"/>
    </row>
    <row r="173" spans="1:36" ht="15.6" thickTop="1" thickBot="1" x14ac:dyDescent="0.35">
      <c r="A173" s="1222"/>
      <c r="B173" s="1222"/>
      <c r="C173" s="453"/>
      <c r="D173" s="453"/>
      <c r="E173" s="453"/>
      <c r="F173" s="453"/>
      <c r="G173" s="328"/>
      <c r="H173" s="328"/>
      <c r="I173" s="453"/>
      <c r="J173" s="453"/>
      <c r="K173" s="328"/>
      <c r="L173" s="1156"/>
      <c r="M173" s="328"/>
      <c r="N173" s="328"/>
      <c r="O173" s="23"/>
      <c r="P173" s="23"/>
      <c r="Q173" s="230"/>
      <c r="R173" s="642"/>
      <c r="S173" s="642"/>
      <c r="T173" s="230"/>
      <c r="U173" s="230"/>
      <c r="V173" s="230"/>
      <c r="W173" s="230"/>
      <c r="X173" s="866"/>
      <c r="Y173" s="866"/>
      <c r="Z173" s="230"/>
      <c r="AA173" s="230"/>
      <c r="AB173" s="230"/>
      <c r="AD173" s="230"/>
      <c r="AE173" s="265"/>
      <c r="AF173" s="265"/>
      <c r="AG173" s="230"/>
      <c r="AH173" s="230"/>
      <c r="AI173" s="265"/>
      <c r="AJ173" s="265"/>
    </row>
    <row r="174" spans="1:36" ht="15" thickTop="1" thickBot="1" x14ac:dyDescent="0.3">
      <c r="A174" s="1226" t="s">
        <v>428</v>
      </c>
      <c r="B174" s="1226"/>
      <c r="C174" s="319"/>
      <c r="D174" s="319"/>
      <c r="E174" s="319"/>
      <c r="F174" s="319"/>
      <c r="G174" s="320"/>
      <c r="H174" s="321" t="s">
        <v>60</v>
      </c>
      <c r="I174" s="320"/>
      <c r="J174" s="320"/>
      <c r="K174" s="320"/>
      <c r="L174" s="438"/>
      <c r="M174" s="320"/>
      <c r="N174" s="1094" t="s">
        <v>119</v>
      </c>
      <c r="O174" s="192"/>
      <c r="P174" s="192"/>
      <c r="Q174" s="230"/>
      <c r="R174" s="642"/>
      <c r="S174" s="642"/>
      <c r="T174" s="230"/>
      <c r="U174" s="230"/>
      <c r="V174" s="230"/>
      <c r="W174" s="230"/>
      <c r="X174" s="866"/>
      <c r="Y174" s="866"/>
      <c r="Z174" s="230"/>
      <c r="AA174" s="230"/>
      <c r="AB174" s="230"/>
      <c r="AD174" s="230"/>
      <c r="AE174" s="230"/>
      <c r="AF174" s="230"/>
      <c r="AG174" s="230"/>
      <c r="AH174" s="230"/>
      <c r="AI174" s="230"/>
      <c r="AJ174" s="230"/>
    </row>
    <row r="175" spans="1:36" ht="14.4" thickTop="1" x14ac:dyDescent="0.25">
      <c r="A175" s="1226" t="s">
        <v>329</v>
      </c>
      <c r="B175" s="1226"/>
      <c r="C175" s="319"/>
      <c r="D175" s="319"/>
      <c r="E175" s="319"/>
      <c r="F175" s="319"/>
      <c r="G175" s="320"/>
      <c r="H175" s="320"/>
      <c r="I175" s="320"/>
      <c r="J175" s="320"/>
      <c r="K175" s="320"/>
      <c r="L175" s="438"/>
      <c r="M175" s="438"/>
      <c r="N175" s="438"/>
      <c r="O175" s="198"/>
      <c r="P175" s="198"/>
      <c r="Q175" s="230"/>
      <c r="R175" s="642"/>
      <c r="S175" s="642"/>
      <c r="T175" s="230"/>
      <c r="U175" s="230"/>
      <c r="V175" s="230"/>
      <c r="W175" s="230"/>
      <c r="X175" s="866"/>
      <c r="Y175" s="866"/>
      <c r="Z175" s="230"/>
      <c r="AA175" s="230"/>
      <c r="AB175" s="230"/>
      <c r="AD175" s="230"/>
      <c r="AE175" s="230"/>
      <c r="AF175" s="230"/>
      <c r="AG175" s="230"/>
      <c r="AH175" s="230"/>
      <c r="AI175" s="230"/>
      <c r="AJ175" s="230"/>
    </row>
    <row r="176" spans="1:36" x14ac:dyDescent="0.25">
      <c r="A176" s="1226" t="s">
        <v>351</v>
      </c>
      <c r="B176" s="1226"/>
      <c r="C176" s="319"/>
      <c r="D176" s="319"/>
      <c r="E176" s="319"/>
      <c r="F176" s="319"/>
      <c r="G176" s="320"/>
      <c r="H176" s="320"/>
      <c r="I176" s="320"/>
      <c r="J176" s="320"/>
      <c r="K176" s="320"/>
      <c r="L176" s="438"/>
      <c r="M176" s="438"/>
      <c r="N176" s="438"/>
      <c r="O176" s="198"/>
      <c r="P176" s="198"/>
      <c r="Q176" s="326"/>
      <c r="R176" s="642"/>
      <c r="S176" s="642"/>
      <c r="T176" s="230"/>
      <c r="U176" s="230"/>
      <c r="V176" s="230"/>
      <c r="W176" s="230"/>
      <c r="X176" s="866"/>
      <c r="Y176" s="866"/>
      <c r="Z176" s="230"/>
      <c r="AA176" s="230"/>
      <c r="AB176" s="230"/>
      <c r="AD176" s="230"/>
      <c r="AE176" s="230"/>
      <c r="AF176" s="230"/>
      <c r="AG176" s="230"/>
      <c r="AH176" s="230"/>
      <c r="AI176" s="230"/>
      <c r="AJ176" s="230"/>
    </row>
    <row r="177" spans="1:57" x14ac:dyDescent="0.25">
      <c r="A177" s="1226" t="s">
        <v>352</v>
      </c>
      <c r="B177" s="1226"/>
      <c r="C177" s="319"/>
      <c r="D177" s="319"/>
      <c r="E177" s="319"/>
      <c r="F177" s="319"/>
      <c r="G177" s="320"/>
      <c r="H177" s="320"/>
      <c r="I177" s="320"/>
      <c r="J177" s="320"/>
      <c r="K177" s="320"/>
      <c r="L177" s="438"/>
      <c r="M177" s="438"/>
      <c r="N177" s="438"/>
      <c r="P177" s="198"/>
      <c r="Q177" s="326"/>
      <c r="R177" s="642"/>
      <c r="S177" s="642"/>
      <c r="T177" s="230"/>
      <c r="U177" s="230"/>
      <c r="V177" s="230"/>
      <c r="W177" s="230"/>
      <c r="X177" s="866"/>
      <c r="Y177" s="866"/>
      <c r="Z177" s="230"/>
      <c r="AA177" s="230"/>
      <c r="AB177" s="230"/>
      <c r="AD177" s="230"/>
      <c r="AE177" s="230"/>
      <c r="AF177" s="230"/>
      <c r="AG177" s="230"/>
      <c r="AH177" s="230"/>
      <c r="AI177" s="230"/>
      <c r="AJ177" s="230"/>
    </row>
    <row r="178" spans="1:57" x14ac:dyDescent="0.25">
      <c r="A178" s="1226" t="s">
        <v>353</v>
      </c>
      <c r="B178" s="1226"/>
      <c r="C178" s="320"/>
      <c r="D178" s="320"/>
      <c r="E178" s="320"/>
      <c r="F178" s="320"/>
      <c r="G178" s="320"/>
      <c r="H178" s="320"/>
      <c r="I178" s="459"/>
      <c r="J178" s="459"/>
      <c r="K178" s="320"/>
      <c r="L178" s="1240"/>
      <c r="M178" s="320"/>
      <c r="N178" s="320"/>
      <c r="Q178" s="230"/>
      <c r="R178" s="642"/>
      <c r="S178" s="642"/>
      <c r="T178" s="230"/>
      <c r="U178" s="230"/>
      <c r="V178" s="230"/>
      <c r="W178" s="230"/>
      <c r="X178" s="866"/>
      <c r="Y178" s="866"/>
      <c r="Z178" s="230"/>
      <c r="AA178" s="230"/>
      <c r="AB178" s="230"/>
      <c r="AD178" s="230"/>
      <c r="AE178" s="230"/>
      <c r="AF178" s="230"/>
      <c r="AG178" s="230"/>
      <c r="AH178" s="230"/>
      <c r="AI178" s="230"/>
      <c r="AJ178" s="230"/>
    </row>
    <row r="179" spans="1:57" x14ac:dyDescent="0.25">
      <c r="A179" s="319" t="s">
        <v>264</v>
      </c>
      <c r="B179" s="319"/>
      <c r="C179" s="320"/>
      <c r="D179" s="320"/>
      <c r="E179" s="320"/>
      <c r="F179" s="320"/>
      <c r="G179" s="320"/>
      <c r="H179" s="320"/>
      <c r="I179" s="1375"/>
      <c r="J179" s="1375"/>
      <c r="K179" s="1375"/>
      <c r="L179" s="1375" t="s">
        <v>230</v>
      </c>
      <c r="M179" s="1375"/>
      <c r="N179" s="1375"/>
      <c r="Q179" s="230"/>
      <c r="R179" s="642"/>
      <c r="S179" s="1079"/>
      <c r="T179" s="230"/>
      <c r="U179" s="230"/>
      <c r="V179" s="230"/>
      <c r="W179" s="230"/>
      <c r="X179" s="866"/>
      <c r="Y179" s="866"/>
      <c r="Z179" s="230"/>
      <c r="AA179" s="230"/>
      <c r="AB179" s="230"/>
      <c r="AD179" s="230"/>
      <c r="AE179" s="230"/>
      <c r="AF179" s="230"/>
      <c r="AG179" s="230"/>
      <c r="AH179" s="230"/>
      <c r="AI179" s="230"/>
      <c r="AJ179" s="230"/>
    </row>
    <row r="180" spans="1:57" x14ac:dyDescent="0.25">
      <c r="A180" s="319"/>
      <c r="B180" s="319"/>
      <c r="C180" s="320"/>
      <c r="D180" s="320"/>
      <c r="E180" s="320"/>
      <c r="F180" s="320"/>
      <c r="G180" s="320"/>
      <c r="H180" s="320"/>
      <c r="I180" s="1492" t="s">
        <v>229</v>
      </c>
      <c r="J180" s="1492"/>
      <c r="K180" s="1229" t="s">
        <v>227</v>
      </c>
      <c r="L180" s="1230" t="s">
        <v>228</v>
      </c>
      <c r="M180" s="1230" t="s">
        <v>265</v>
      </c>
      <c r="N180" s="1241" t="s">
        <v>4</v>
      </c>
      <c r="O180" s="212" t="s">
        <v>277</v>
      </c>
      <c r="P180" s="197"/>
      <c r="Q180" s="230"/>
      <c r="R180" s="642"/>
      <c r="S180" s="1079"/>
      <c r="T180" s="230"/>
      <c r="U180" s="230"/>
      <c r="V180" s="230"/>
      <c r="W180" s="230"/>
      <c r="X180" s="866"/>
      <c r="Y180" s="866"/>
      <c r="Z180" s="230"/>
      <c r="AA180" s="230"/>
      <c r="AB180" s="230"/>
      <c r="AD180" s="230"/>
      <c r="AE180" s="230"/>
      <c r="AF180" s="230"/>
      <c r="AG180" s="230"/>
      <c r="AH180" s="230"/>
      <c r="AI180" s="230"/>
      <c r="AJ180" s="230"/>
    </row>
    <row r="181" spans="1:57" ht="31.5" customHeight="1" x14ac:dyDescent="0.3">
      <c r="A181" s="1491" t="str">
        <f>IF(N181&gt;24999,"Note: Subaward has reached the 25K limit. If budget continues in future years, do not answer this question.", " ")</f>
        <v xml:space="preserve"> </v>
      </c>
      <c r="B181" s="1491"/>
      <c r="C181" s="1491"/>
      <c r="D181" s="1491"/>
      <c r="E181" s="1491"/>
      <c r="F181" s="1491"/>
      <c r="G181" s="1491"/>
      <c r="H181" s="1491"/>
      <c r="I181" s="1332" t="s">
        <v>232</v>
      </c>
      <c r="J181" s="1283"/>
      <c r="K181" s="1401"/>
      <c r="L181" s="1401"/>
      <c r="M181" s="1402"/>
      <c r="N181" s="1403">
        <f>SUM(K181:M181)</f>
        <v>0</v>
      </c>
      <c r="O181" s="217">
        <f>K181+L181</f>
        <v>0</v>
      </c>
      <c r="P181" s="173">
        <f>IF(AND(O181&lt;25000,N181&gt;25000,M181&gt;O181),25000-O181,IF(AND(O181&lt;25000,M181&lt;25000),M181, 0))</f>
        <v>0</v>
      </c>
      <c r="Q181" s="230"/>
      <c r="R181" s="642"/>
      <c r="S181" s="1079"/>
      <c r="T181" s="230"/>
      <c r="U181" s="230"/>
      <c r="V181" s="230"/>
      <c r="W181" s="230"/>
      <c r="X181" s="866"/>
      <c r="Y181" s="866"/>
      <c r="Z181" s="230"/>
      <c r="AA181" s="230"/>
      <c r="AB181" s="230"/>
      <c r="AD181" s="230"/>
      <c r="AE181" s="230"/>
      <c r="AF181" s="230"/>
      <c r="AG181" s="230"/>
      <c r="AH181" s="230"/>
      <c r="AI181" s="230"/>
      <c r="AJ181" s="230"/>
    </row>
    <row r="182" spans="1:57" ht="31.5" customHeight="1" x14ac:dyDescent="0.25">
      <c r="A182" s="1491" t="str">
        <f>IF(N182&gt;24999,"Note: Subaward has reached the 25K limit. If budget continues in future years, do not answer this question.", " ")</f>
        <v xml:space="preserve"> </v>
      </c>
      <c r="B182" s="1491"/>
      <c r="C182" s="1491"/>
      <c r="D182" s="1491"/>
      <c r="E182" s="1491"/>
      <c r="F182" s="1491"/>
      <c r="G182" s="1491"/>
      <c r="H182" s="1491"/>
      <c r="I182" s="1333" t="s">
        <v>233</v>
      </c>
      <c r="J182" s="1284"/>
      <c r="K182" s="1401"/>
      <c r="L182" s="1401"/>
      <c r="M182" s="1402"/>
      <c r="N182" s="1404">
        <f>SUM(K182:M182)</f>
        <v>0</v>
      </c>
      <c r="O182" s="216">
        <f>K182+L182</f>
        <v>0</v>
      </c>
      <c r="P182" s="215">
        <f>IF(AND(O182&lt;25000,N182&gt;25000,M182&gt;O182),25000-O182,IF(AND(O182&lt;25000,M182&lt;25000),M182, 0))</f>
        <v>0</v>
      </c>
      <c r="Q182" s="230"/>
      <c r="R182" s="642"/>
      <c r="S182" s="1079"/>
      <c r="T182" s="230"/>
      <c r="U182" s="230"/>
      <c r="V182" s="230"/>
      <c r="W182" s="230"/>
      <c r="X182" s="866"/>
      <c r="Y182" s="866"/>
      <c r="Z182" s="230"/>
      <c r="AA182" s="230"/>
      <c r="AB182" s="230"/>
      <c r="AD182" s="230"/>
      <c r="AE182" s="230"/>
      <c r="AF182" s="230"/>
      <c r="AG182" s="230"/>
      <c r="AH182" s="230"/>
      <c r="AI182" s="230"/>
      <c r="AJ182" s="230"/>
    </row>
    <row r="183" spans="1:57" ht="14.4" hidden="1" x14ac:dyDescent="0.3">
      <c r="A183" s="630"/>
      <c r="B183" s="630"/>
      <c r="C183" s="450"/>
      <c r="D183" s="450"/>
      <c r="E183" s="450"/>
      <c r="F183" s="450"/>
      <c r="G183" s="325"/>
      <c r="H183" s="325"/>
      <c r="I183" s="450"/>
      <c r="J183" s="450"/>
      <c r="K183" s="325"/>
      <c r="L183" s="244"/>
      <c r="M183" s="325"/>
      <c r="N183" s="325"/>
      <c r="O183" s="23"/>
      <c r="P183" s="23"/>
      <c r="Q183" s="230"/>
      <c r="R183" s="1079"/>
      <c r="S183" s="642"/>
      <c r="T183" s="230"/>
      <c r="U183" s="230"/>
      <c r="V183" s="230"/>
      <c r="W183" s="230"/>
      <c r="X183" s="866"/>
      <c r="Y183" s="866"/>
      <c r="Z183" s="230"/>
      <c r="AA183" s="230"/>
      <c r="AB183" s="230"/>
      <c r="AD183" s="230"/>
      <c r="AE183" s="265"/>
      <c r="AF183" s="265"/>
      <c r="AG183" s="230"/>
      <c r="AH183" s="230"/>
      <c r="AI183" s="265"/>
      <c r="AJ183" s="265"/>
    </row>
    <row r="184" spans="1:57" hidden="1" x14ac:dyDescent="0.25">
      <c r="A184" s="539"/>
      <c r="B184" s="539"/>
      <c r="C184" s="539"/>
      <c r="D184" s="539"/>
      <c r="E184" s="539"/>
      <c r="F184" s="539"/>
      <c r="G184" s="539"/>
      <c r="H184" s="539"/>
      <c r="I184" s="539"/>
      <c r="J184" s="539"/>
      <c r="K184" s="539"/>
      <c r="L184" s="539"/>
      <c r="M184" s="539"/>
      <c r="N184" s="684"/>
      <c r="O184" s="199"/>
      <c r="P184" s="199"/>
      <c r="Q184" s="230"/>
      <c r="R184" s="642"/>
      <c r="S184" s="642"/>
      <c r="T184" s="230"/>
      <c r="U184" s="230"/>
      <c r="V184" s="230"/>
      <c r="W184" s="230"/>
      <c r="X184" s="866"/>
      <c r="Y184" s="866"/>
      <c r="Z184" s="230"/>
      <c r="AA184" s="230"/>
      <c r="AB184" s="230"/>
      <c r="AD184" s="230"/>
      <c r="AE184" s="265"/>
      <c r="AF184" s="265"/>
      <c r="AG184" s="230"/>
      <c r="AH184" s="230"/>
      <c r="AI184" s="265"/>
      <c r="AJ184" s="265"/>
    </row>
    <row r="185" spans="1:57" hidden="1" x14ac:dyDescent="0.25">
      <c r="A185" s="539"/>
      <c r="B185" s="539"/>
      <c r="C185" s="539"/>
      <c r="D185" s="539"/>
      <c r="E185" s="539"/>
      <c r="F185" s="539"/>
      <c r="G185" s="539"/>
      <c r="H185" s="539"/>
      <c r="I185" s="561"/>
      <c r="J185" s="561"/>
      <c r="K185" s="561"/>
      <c r="L185" s="561"/>
      <c r="M185" s="685" t="s">
        <v>71</v>
      </c>
      <c r="N185" s="684">
        <f>SUM(N139:N164)+SUM(N171:N172)+SUM(P181:P182)</f>
        <v>0</v>
      </c>
      <c r="O185" s="199"/>
      <c r="P185" s="199"/>
      <c r="Q185" s="230"/>
      <c r="R185" s="642"/>
      <c r="S185" s="642"/>
      <c r="T185" s="230"/>
      <c r="U185" s="230"/>
      <c r="V185" s="230"/>
      <c r="W185" s="230"/>
      <c r="X185" s="866"/>
      <c r="Y185" s="866"/>
      <c r="Z185" s="230"/>
      <c r="AA185" s="230"/>
      <c r="AB185" s="230"/>
      <c r="AD185" s="230"/>
      <c r="AE185" s="265"/>
      <c r="AF185" s="265"/>
      <c r="AG185" s="230"/>
      <c r="AH185" s="230"/>
      <c r="AI185" s="265"/>
      <c r="AJ185" s="265"/>
    </row>
    <row r="186" spans="1:57" s="13" customFormat="1" ht="14.4" thickBot="1" x14ac:dyDescent="0.3">
      <c r="A186" s="453"/>
      <c r="B186" s="453"/>
      <c r="C186" s="453"/>
      <c r="D186" s="453"/>
      <c r="E186" s="453"/>
      <c r="F186" s="453"/>
      <c r="G186" s="328"/>
      <c r="H186" s="328"/>
      <c r="I186" s="328"/>
      <c r="J186" s="328"/>
      <c r="K186" s="328"/>
      <c r="L186" s="328"/>
      <c r="M186" s="328"/>
      <c r="N186" s="443"/>
      <c r="O186" s="90"/>
      <c r="P186" s="90"/>
      <c r="Q186" s="326"/>
      <c r="R186" s="640"/>
      <c r="S186" s="640"/>
      <c r="T186" s="326"/>
      <c r="U186" s="326"/>
      <c r="V186" s="326"/>
      <c r="W186" s="326"/>
      <c r="X186" s="326"/>
      <c r="Y186" s="326"/>
      <c r="Z186" s="326"/>
      <c r="AA186" s="326"/>
      <c r="AB186" s="326"/>
      <c r="AC186" s="326"/>
      <c r="AD186" s="326"/>
      <c r="AE186" s="510"/>
      <c r="AF186" s="510"/>
      <c r="AG186" s="326"/>
      <c r="AH186" s="326"/>
      <c r="AI186" s="510"/>
      <c r="AJ186" s="510"/>
      <c r="AU186" s="326"/>
      <c r="AV186" s="326"/>
      <c r="AW186" s="326"/>
      <c r="AX186" s="326"/>
      <c r="AY186" s="326"/>
      <c r="AZ186" s="326"/>
      <c r="BA186" s="326"/>
      <c r="BB186" s="326"/>
      <c r="BC186" s="326"/>
      <c r="BD186" s="326"/>
      <c r="BE186" s="326"/>
    </row>
    <row r="187" spans="1:57" ht="15" thickTop="1" thickBot="1" x14ac:dyDescent="0.3">
      <c r="A187" s="1226" t="s">
        <v>377</v>
      </c>
      <c r="B187" s="1226"/>
      <c r="C187" s="319"/>
      <c r="D187" s="319"/>
      <c r="E187" s="319"/>
      <c r="F187" s="319"/>
      <c r="G187" s="320"/>
      <c r="H187" s="320"/>
      <c r="I187" s="320"/>
      <c r="J187" s="320"/>
      <c r="K187" s="320"/>
      <c r="L187" s="321" t="s">
        <v>60</v>
      </c>
      <c r="M187" s="320"/>
      <c r="N187" s="1094" t="s">
        <v>273</v>
      </c>
      <c r="O187" s="23"/>
      <c r="P187" s="23"/>
      <c r="Q187" s="230"/>
      <c r="R187" s="642"/>
      <c r="S187" s="642"/>
      <c r="T187" s="230"/>
      <c r="U187" s="230"/>
      <c r="V187" s="230"/>
      <c r="W187" s="230"/>
      <c r="X187" s="866"/>
      <c r="Y187" s="866"/>
      <c r="Z187" s="230"/>
      <c r="AA187" s="230"/>
      <c r="AB187" s="230"/>
      <c r="AD187" s="230"/>
      <c r="AE187" s="265"/>
      <c r="AF187" s="265"/>
      <c r="AG187" s="230"/>
      <c r="AH187" s="230"/>
      <c r="AI187" s="265"/>
      <c r="AJ187" s="265"/>
    </row>
    <row r="188" spans="1:57" ht="14.4" thickTop="1" x14ac:dyDescent="0.25">
      <c r="A188" s="1226" t="s">
        <v>336</v>
      </c>
      <c r="B188" s="1226"/>
      <c r="C188" s="319"/>
      <c r="D188" s="319"/>
      <c r="E188" s="319"/>
      <c r="F188" s="319"/>
      <c r="G188" s="320"/>
      <c r="H188" s="320"/>
      <c r="I188" s="320"/>
      <c r="J188" s="320"/>
      <c r="K188" s="320"/>
      <c r="L188" s="320"/>
      <c r="M188" s="320"/>
      <c r="N188" s="438"/>
      <c r="O188" s="90"/>
      <c r="P188" s="90"/>
      <c r="Q188" s="230"/>
      <c r="R188" s="642"/>
      <c r="S188" s="642"/>
      <c r="T188" s="230"/>
      <c r="U188" s="230"/>
      <c r="V188" s="230"/>
      <c r="W188" s="230"/>
      <c r="X188" s="866"/>
      <c r="Y188" s="866"/>
      <c r="Z188" s="230"/>
      <c r="AA188" s="230"/>
      <c r="AB188" s="230"/>
      <c r="AD188" s="230"/>
      <c r="AE188" s="265"/>
      <c r="AF188" s="265"/>
      <c r="AG188" s="230"/>
      <c r="AH188" s="230"/>
      <c r="AI188" s="265"/>
      <c r="AJ188" s="265"/>
    </row>
    <row r="189" spans="1:57" x14ac:dyDescent="0.25">
      <c r="A189" s="1232" t="s">
        <v>354</v>
      </c>
      <c r="B189" s="1232"/>
      <c r="C189" s="319"/>
      <c r="D189" s="319"/>
      <c r="E189" s="319"/>
      <c r="F189" s="319"/>
      <c r="G189" s="320"/>
      <c r="H189" s="320"/>
      <c r="I189" s="320"/>
      <c r="J189" s="320"/>
      <c r="K189" s="320"/>
      <c r="L189" s="320"/>
      <c r="M189" s="320"/>
      <c r="N189" s="320"/>
      <c r="Q189" s="230"/>
      <c r="R189" s="642"/>
      <c r="S189" s="642"/>
      <c r="T189" s="230"/>
      <c r="U189" s="230"/>
      <c r="V189" s="230"/>
      <c r="W189" s="230"/>
      <c r="X189" s="866"/>
      <c r="Y189" s="866"/>
      <c r="Z189" s="230"/>
      <c r="AA189" s="230"/>
      <c r="AB189" s="230"/>
      <c r="AD189" s="230"/>
      <c r="AE189" s="265"/>
      <c r="AF189" s="265"/>
      <c r="AG189" s="230"/>
      <c r="AH189" s="230"/>
      <c r="AI189" s="265"/>
      <c r="AJ189" s="265"/>
    </row>
    <row r="190" spans="1:57" ht="18" customHeight="1" x14ac:dyDescent="0.25">
      <c r="A190" s="1231" t="s">
        <v>355</v>
      </c>
      <c r="B190" s="1231"/>
      <c r="C190" s="319"/>
      <c r="D190" s="319"/>
      <c r="E190" s="319"/>
      <c r="F190" s="319"/>
      <c r="G190" s="320"/>
      <c r="H190" s="320"/>
      <c r="I190" s="320"/>
      <c r="J190" s="320"/>
      <c r="K190" s="320"/>
      <c r="L190" s="320"/>
      <c r="M190" s="320"/>
      <c r="N190" s="320"/>
      <c r="Q190" s="230"/>
      <c r="R190" s="642"/>
      <c r="S190" s="642"/>
      <c r="T190" s="230"/>
      <c r="U190" s="230"/>
      <c r="V190" s="230"/>
      <c r="W190" s="230"/>
      <c r="X190" s="866"/>
      <c r="Y190" s="866"/>
      <c r="Z190" s="230"/>
      <c r="AA190" s="230"/>
      <c r="AB190" s="230"/>
      <c r="AD190" s="230"/>
      <c r="AE190" s="265"/>
      <c r="AF190" s="265"/>
      <c r="AG190" s="230"/>
      <c r="AH190" s="230"/>
      <c r="AI190" s="265"/>
      <c r="AJ190" s="265"/>
    </row>
    <row r="191" spans="1:57" ht="18" customHeight="1" x14ac:dyDescent="0.25">
      <c r="A191" s="1233" t="s">
        <v>135</v>
      </c>
      <c r="B191" s="1233"/>
      <c r="C191" s="319"/>
      <c r="D191" s="319"/>
      <c r="E191" s="319"/>
      <c r="F191" s="319"/>
      <c r="G191" s="320"/>
      <c r="H191" s="320"/>
      <c r="I191" s="320"/>
      <c r="J191" s="320"/>
      <c r="K191" s="320"/>
      <c r="L191" s="320"/>
      <c r="M191" s="320"/>
      <c r="N191" s="320"/>
      <c r="Q191" s="230"/>
      <c r="R191" s="642"/>
      <c r="S191" s="642"/>
      <c r="T191" s="230"/>
      <c r="U191" s="230"/>
      <c r="V191" s="230"/>
      <c r="W191" s="230"/>
      <c r="X191" s="866"/>
      <c r="Y191" s="866"/>
      <c r="Z191" s="230"/>
      <c r="AA191" s="230"/>
      <c r="AB191" s="230"/>
      <c r="AD191" s="230"/>
      <c r="AE191" s="265"/>
      <c r="AF191" s="265"/>
      <c r="AG191" s="230"/>
      <c r="AH191" s="230"/>
      <c r="AI191" s="265"/>
      <c r="AJ191" s="265"/>
    </row>
    <row r="192" spans="1:57" ht="17.25" customHeight="1" thickBot="1" x14ac:dyDescent="0.3">
      <c r="A192" s="453"/>
      <c r="B192" s="453"/>
      <c r="C192" s="453"/>
      <c r="D192" s="453"/>
      <c r="E192" s="453"/>
      <c r="F192" s="453"/>
      <c r="G192" s="328"/>
      <c r="H192" s="328"/>
      <c r="I192" s="328"/>
      <c r="J192" s="328"/>
      <c r="K192" s="328"/>
      <c r="L192" s="328"/>
      <c r="M192" s="328"/>
      <c r="N192" s="443"/>
      <c r="O192" s="90"/>
      <c r="P192" s="90"/>
      <c r="Q192" s="230"/>
      <c r="R192" s="642"/>
      <c r="S192" s="642"/>
      <c r="T192" s="230"/>
      <c r="U192" s="230"/>
      <c r="V192" s="230"/>
      <c r="W192" s="230"/>
      <c r="X192" s="866"/>
      <c r="Y192" s="866"/>
      <c r="Z192" s="230"/>
      <c r="AA192" s="230"/>
      <c r="AB192" s="230"/>
      <c r="AD192" s="230"/>
      <c r="AE192" s="265"/>
      <c r="AF192" s="265"/>
      <c r="AG192" s="230"/>
      <c r="AH192" s="230"/>
      <c r="AI192" s="265"/>
      <c r="AJ192" s="265"/>
    </row>
    <row r="193" spans="1:57" ht="15" thickTop="1" thickBot="1" x14ac:dyDescent="0.3">
      <c r="A193" s="1226" t="s">
        <v>378</v>
      </c>
      <c r="B193" s="1226"/>
      <c r="C193" s="319"/>
      <c r="D193" s="319"/>
      <c r="E193" s="319"/>
      <c r="F193" s="319"/>
      <c r="G193" s="320"/>
      <c r="H193" s="320"/>
      <c r="I193" s="459"/>
      <c r="J193" s="459"/>
      <c r="K193" s="459"/>
      <c r="L193" s="321" t="s">
        <v>60</v>
      </c>
      <c r="M193" s="320"/>
      <c r="N193" s="1094" t="s">
        <v>274</v>
      </c>
      <c r="O193" s="192"/>
      <c r="P193" s="192"/>
      <c r="Q193" s="230"/>
      <c r="R193" s="642"/>
      <c r="S193" s="642"/>
      <c r="T193" s="230"/>
      <c r="U193" s="230"/>
      <c r="V193" s="230"/>
      <c r="W193" s="230"/>
      <c r="X193" s="866"/>
      <c r="Y193" s="866"/>
      <c r="Z193" s="230"/>
      <c r="AA193" s="230"/>
      <c r="AB193" s="230"/>
      <c r="AD193" s="230"/>
      <c r="AE193" s="265"/>
      <c r="AF193" s="265"/>
      <c r="AG193" s="230"/>
      <c r="AH193" s="230"/>
      <c r="AI193" s="265"/>
      <c r="AJ193" s="265"/>
    </row>
    <row r="194" spans="1:57" ht="14.4" thickTop="1" x14ac:dyDescent="0.25">
      <c r="A194" s="1234" t="s">
        <v>206</v>
      </c>
      <c r="B194" s="1234"/>
      <c r="C194" s="464"/>
      <c r="D194" s="464"/>
      <c r="E194" s="464"/>
      <c r="F194" s="464"/>
      <c r="G194" s="459"/>
      <c r="H194" s="459"/>
      <c r="I194" s="459"/>
      <c r="J194" s="459"/>
      <c r="K194" s="459"/>
      <c r="L194" s="459"/>
      <c r="M194" s="459"/>
      <c r="N194" s="311"/>
      <c r="O194" s="192"/>
      <c r="P194" s="192"/>
      <c r="Q194" s="230"/>
      <c r="R194" s="642"/>
      <c r="S194" s="642"/>
      <c r="T194" s="230"/>
      <c r="U194" s="230"/>
      <c r="V194" s="230"/>
      <c r="W194" s="230"/>
      <c r="X194" s="866"/>
      <c r="Y194" s="866"/>
      <c r="Z194" s="230"/>
      <c r="AA194" s="230"/>
      <c r="AB194" s="230"/>
      <c r="AD194" s="230"/>
      <c r="AE194" s="265"/>
      <c r="AF194" s="265"/>
      <c r="AG194" s="230"/>
      <c r="AH194" s="230"/>
      <c r="AI194" s="265"/>
      <c r="AJ194" s="265"/>
    </row>
    <row r="195" spans="1:57" s="867" customFormat="1" ht="14.4" thickBot="1" x14ac:dyDescent="0.3">
      <c r="A195" s="1150"/>
      <c r="B195" s="1150"/>
      <c r="C195" s="628"/>
      <c r="D195" s="628"/>
      <c r="E195" s="628"/>
      <c r="F195" s="628"/>
      <c r="G195" s="1156"/>
      <c r="H195" s="1156"/>
      <c r="I195" s="1156"/>
      <c r="J195" s="1156"/>
      <c r="K195" s="1156"/>
      <c r="L195" s="1156"/>
      <c r="M195" s="1156"/>
      <c r="N195" s="1320"/>
      <c r="O195" s="192"/>
      <c r="P195" s="192"/>
      <c r="Q195" s="866"/>
      <c r="R195" s="642"/>
      <c r="S195" s="642"/>
      <c r="T195" s="866"/>
      <c r="U195" s="866"/>
      <c r="V195" s="866"/>
      <c r="W195" s="866"/>
      <c r="X195" s="866"/>
      <c r="Y195" s="866"/>
      <c r="Z195" s="866"/>
      <c r="AA195" s="866"/>
      <c r="AB195" s="866"/>
      <c r="AC195" s="866"/>
      <c r="AD195" s="866"/>
      <c r="AE195" s="868"/>
      <c r="AF195" s="868"/>
      <c r="AG195" s="866"/>
      <c r="AH195" s="866"/>
      <c r="AI195" s="868"/>
      <c r="AJ195" s="868"/>
      <c r="AU195" s="866"/>
      <c r="AV195" s="866"/>
      <c r="AW195" s="866"/>
      <c r="AX195" s="866"/>
      <c r="AY195" s="866"/>
      <c r="AZ195" s="866"/>
      <c r="BA195" s="866"/>
      <c r="BB195" s="866"/>
      <c r="BC195" s="866"/>
      <c r="BD195" s="866"/>
      <c r="BE195" s="866"/>
    </row>
    <row r="196" spans="1:57" ht="16.5" customHeight="1" thickTop="1" thickBot="1" x14ac:dyDescent="0.3">
      <c r="A196" s="1093" t="s">
        <v>583</v>
      </c>
      <c r="B196" s="1093"/>
      <c r="C196" s="438"/>
      <c r="D196" s="438"/>
      <c r="E196" s="438"/>
      <c r="F196" s="438"/>
      <c r="G196" s="438"/>
      <c r="H196" s="438"/>
      <c r="I196" s="438"/>
      <c r="J196" s="438"/>
      <c r="K196" s="439"/>
      <c r="L196" s="321" t="s">
        <v>60</v>
      </c>
      <c r="M196" s="438"/>
      <c r="N196" s="311" t="s">
        <v>559</v>
      </c>
      <c r="O196" s="90"/>
      <c r="P196" s="90"/>
      <c r="Q196" s="230"/>
      <c r="R196" s="642"/>
      <c r="S196" s="642"/>
      <c r="T196" s="230"/>
      <c r="U196" s="230"/>
      <c r="V196" s="230"/>
      <c r="W196" s="230"/>
      <c r="X196" s="866"/>
      <c r="Y196" s="866"/>
      <c r="Z196" s="230"/>
      <c r="AA196" s="230"/>
      <c r="AB196" s="230"/>
      <c r="AD196" s="230"/>
      <c r="AE196" s="265"/>
      <c r="AF196" s="265"/>
      <c r="AG196" s="230"/>
      <c r="AH196" s="230"/>
      <c r="AI196" s="265"/>
      <c r="AJ196" s="265"/>
    </row>
    <row r="197" spans="1:57" ht="16.5" customHeight="1" thickTop="1" x14ac:dyDescent="0.25">
      <c r="A197" s="1093" t="s">
        <v>586</v>
      </c>
      <c r="B197" s="1093"/>
      <c r="C197" s="438"/>
      <c r="D197" s="438"/>
      <c r="E197" s="438"/>
      <c r="F197" s="438"/>
      <c r="G197" s="438"/>
      <c r="H197" s="438"/>
      <c r="I197" s="438"/>
      <c r="J197" s="438"/>
      <c r="K197" s="439"/>
      <c r="L197" s="438"/>
      <c r="M197" s="438"/>
      <c r="N197" s="320"/>
      <c r="O197" s="23"/>
      <c r="P197" s="23"/>
      <c r="Q197" s="230"/>
      <c r="R197" s="642"/>
      <c r="S197" s="642"/>
      <c r="T197" s="230"/>
      <c r="U197" s="230"/>
      <c r="V197" s="230"/>
      <c r="W197" s="230"/>
      <c r="X197" s="866"/>
      <c r="Y197" s="866"/>
      <c r="Z197" s="230"/>
      <c r="AA197" s="230"/>
      <c r="AB197" s="230"/>
      <c r="AD197" s="230"/>
      <c r="AE197" s="265"/>
      <c r="AF197" s="265"/>
      <c r="AG197" s="230"/>
      <c r="AH197" s="230"/>
      <c r="AI197" s="265"/>
      <c r="AJ197" s="265"/>
    </row>
    <row r="198" spans="1:57" ht="16.5" customHeight="1" x14ac:dyDescent="0.25">
      <c r="A198" s="1093" t="s">
        <v>585</v>
      </c>
      <c r="B198" s="1093"/>
      <c r="C198" s="438"/>
      <c r="D198" s="438"/>
      <c r="E198" s="438"/>
      <c r="F198" s="438"/>
      <c r="G198" s="438"/>
      <c r="H198" s="438"/>
      <c r="I198" s="438"/>
      <c r="J198" s="438"/>
      <c r="K198" s="439"/>
      <c r="L198" s="438"/>
      <c r="M198" s="438"/>
      <c r="N198" s="320"/>
      <c r="O198" s="23"/>
      <c r="P198" s="23"/>
      <c r="Q198" s="230"/>
      <c r="R198" s="642"/>
      <c r="S198" s="642"/>
      <c r="T198" s="230"/>
      <c r="U198" s="230"/>
      <c r="V198" s="230"/>
      <c r="W198" s="230"/>
      <c r="X198" s="866"/>
      <c r="Y198" s="866"/>
      <c r="Z198" s="230"/>
      <c r="AA198" s="230"/>
      <c r="AB198" s="230"/>
      <c r="AD198" s="230"/>
      <c r="AE198" s="265"/>
      <c r="AF198" s="265"/>
      <c r="AG198" s="230"/>
      <c r="AH198" s="230"/>
      <c r="AI198" s="265"/>
      <c r="AJ198" s="265"/>
    </row>
    <row r="199" spans="1:57" s="867" customFormat="1" ht="16.5" customHeight="1" x14ac:dyDescent="0.25">
      <c r="A199" s="1093" t="s">
        <v>562</v>
      </c>
      <c r="B199" s="1093"/>
      <c r="C199" s="438"/>
      <c r="D199" s="438"/>
      <c r="E199" s="438"/>
      <c r="F199" s="438"/>
      <c r="G199" s="438"/>
      <c r="H199" s="438"/>
      <c r="I199" s="438"/>
      <c r="J199" s="438"/>
      <c r="K199" s="439"/>
      <c r="L199" s="438"/>
      <c r="M199" s="438"/>
      <c r="N199" s="320"/>
      <c r="O199" s="23"/>
      <c r="P199" s="23"/>
      <c r="Q199" s="866"/>
      <c r="R199" s="642"/>
      <c r="S199" s="642"/>
      <c r="T199" s="866"/>
      <c r="U199" s="866"/>
      <c r="V199" s="866"/>
      <c r="W199" s="866"/>
      <c r="X199" s="866"/>
      <c r="Y199" s="866"/>
      <c r="Z199" s="866"/>
      <c r="AA199" s="866"/>
      <c r="AB199" s="866"/>
      <c r="AC199" s="866"/>
      <c r="AD199" s="866"/>
      <c r="AE199" s="868"/>
      <c r="AF199" s="868"/>
      <c r="AG199" s="866"/>
      <c r="AH199" s="866"/>
      <c r="AI199" s="868"/>
      <c r="AJ199" s="868"/>
      <c r="AU199" s="866"/>
      <c r="AV199" s="866"/>
      <c r="AW199" s="866"/>
      <c r="AX199" s="866"/>
      <c r="AY199" s="866"/>
      <c r="AZ199" s="866"/>
      <c r="BA199" s="866"/>
      <c r="BB199" s="866"/>
      <c r="BC199" s="866"/>
      <c r="BD199" s="866"/>
      <c r="BE199" s="866"/>
    </row>
    <row r="200" spans="1:57" ht="16.5" customHeight="1" x14ac:dyDescent="0.25">
      <c r="A200" s="1093" t="s">
        <v>584</v>
      </c>
      <c r="B200" s="1093"/>
      <c r="C200" s="438"/>
      <c r="D200" s="438"/>
      <c r="E200" s="438"/>
      <c r="F200" s="438"/>
      <c r="G200" s="438"/>
      <c r="H200" s="438"/>
      <c r="I200" s="438"/>
      <c r="J200" s="438"/>
      <c r="K200" s="439"/>
      <c r="L200" s="438"/>
      <c r="M200" s="438"/>
      <c r="N200" s="320"/>
      <c r="O200" s="23"/>
      <c r="P200" s="23"/>
      <c r="Q200" s="230"/>
      <c r="R200" s="642"/>
      <c r="S200" s="642"/>
      <c r="T200" s="230"/>
      <c r="U200" s="230"/>
      <c r="V200" s="230"/>
      <c r="W200" s="230"/>
      <c r="X200" s="866"/>
      <c r="Y200" s="866"/>
      <c r="Z200" s="230"/>
      <c r="AA200" s="230"/>
      <c r="AB200" s="230"/>
      <c r="AD200" s="230"/>
      <c r="AE200" s="265"/>
      <c r="AF200" s="265"/>
      <c r="AG200" s="230"/>
      <c r="AH200" s="230"/>
      <c r="AI200" s="265"/>
      <c r="AJ200" s="265"/>
    </row>
    <row r="201" spans="1:57" x14ac:dyDescent="0.25">
      <c r="A201" s="1396"/>
      <c r="B201" s="1396"/>
      <c r="C201" s="1396"/>
      <c r="D201" s="1396"/>
      <c r="E201" s="1396"/>
      <c r="F201" s="1396"/>
      <c r="G201" s="1396"/>
      <c r="H201" s="1396"/>
      <c r="I201" s="1396"/>
      <c r="J201" s="1396"/>
      <c r="K201" s="328"/>
      <c r="L201" s="328"/>
      <c r="M201" s="1397"/>
      <c r="N201" s="1397"/>
      <c r="O201" s="200"/>
      <c r="P201" s="200"/>
      <c r="Q201" s="230"/>
      <c r="R201" s="642"/>
      <c r="S201" s="642"/>
      <c r="T201" s="230"/>
      <c r="U201" s="230"/>
      <c r="V201" s="230"/>
      <c r="W201" s="230"/>
      <c r="X201" s="866"/>
      <c r="Y201" s="866"/>
      <c r="Z201" s="230"/>
      <c r="AA201" s="230"/>
      <c r="AB201" s="230"/>
      <c r="AD201" s="230"/>
      <c r="AE201" s="265"/>
      <c r="AF201" s="265"/>
      <c r="AG201" s="230"/>
      <c r="AH201" s="230"/>
      <c r="AI201" s="265"/>
      <c r="AJ201" s="265"/>
    </row>
    <row r="202" spans="1:57" ht="15" hidden="1" thickTop="1" thickBot="1" x14ac:dyDescent="0.3">
      <c r="A202" s="319" t="s">
        <v>379</v>
      </c>
      <c r="B202" s="319"/>
      <c r="C202" s="320"/>
      <c r="D202" s="320"/>
      <c r="E202" s="320"/>
      <c r="F202" s="320"/>
      <c r="G202" s="320"/>
      <c r="H202" s="320"/>
      <c r="I202" s="320"/>
      <c r="J202" s="320"/>
      <c r="K202" s="320"/>
      <c r="L202" s="321" t="s">
        <v>60</v>
      </c>
      <c r="M202" s="320"/>
      <c r="N202" s="311" t="s">
        <v>275</v>
      </c>
      <c r="O202" s="23"/>
      <c r="P202" s="23"/>
      <c r="Q202" s="230"/>
      <c r="R202" s="642"/>
      <c r="S202" s="642"/>
      <c r="T202" s="230"/>
      <c r="U202" s="230"/>
      <c r="V202" s="230"/>
      <c r="W202" s="230"/>
      <c r="X202" s="866"/>
      <c r="Y202" s="866"/>
      <c r="Z202" s="230"/>
      <c r="AA202" s="230"/>
      <c r="AB202" s="230"/>
      <c r="AD202" s="230"/>
      <c r="AE202" s="265"/>
      <c r="AF202" s="265"/>
      <c r="AG202" s="230"/>
      <c r="AH202" s="230"/>
      <c r="AI202" s="265"/>
      <c r="AJ202" s="265"/>
    </row>
    <row r="203" spans="1:57" ht="15" hidden="1" thickTop="1" thickBot="1" x14ac:dyDescent="0.3">
      <c r="A203" s="319" t="s">
        <v>211</v>
      </c>
      <c r="B203" s="319"/>
      <c r="C203" s="319"/>
      <c r="D203" s="319"/>
      <c r="E203" s="319"/>
      <c r="F203" s="319"/>
      <c r="G203" s="320"/>
      <c r="H203" s="320"/>
      <c r="I203" s="320"/>
      <c r="J203" s="320"/>
      <c r="K203" s="309"/>
      <c r="L203" s="320"/>
      <c r="M203" s="321" t="s">
        <v>59</v>
      </c>
      <c r="N203" s="320"/>
      <c r="O203" s="19"/>
      <c r="P203" s="19"/>
      <c r="Q203" s="230"/>
      <c r="R203" s="642"/>
      <c r="S203" s="642"/>
      <c r="T203" s="230"/>
      <c r="U203" s="230"/>
      <c r="V203" s="230"/>
      <c r="W203" s="230"/>
      <c r="X203" s="866"/>
      <c r="Y203" s="866"/>
      <c r="Z203" s="230"/>
      <c r="AA203" s="230"/>
      <c r="AB203" s="230"/>
      <c r="AD203" s="230"/>
      <c r="AE203" s="265"/>
      <c r="AF203" s="265"/>
      <c r="AG203" s="230"/>
      <c r="AH203" s="230"/>
      <c r="AI203" s="265"/>
      <c r="AJ203" s="265"/>
    </row>
    <row r="204" spans="1:57" hidden="1" x14ac:dyDescent="0.25">
      <c r="A204" s="322" t="s">
        <v>446</v>
      </c>
      <c r="B204" s="322"/>
      <c r="C204" s="323"/>
      <c r="D204" s="323"/>
      <c r="E204" s="323"/>
      <c r="F204" s="323"/>
      <c r="G204" s="323"/>
      <c r="H204" s="323"/>
      <c r="I204" s="323"/>
      <c r="J204" s="323"/>
      <c r="K204" s="323"/>
      <c r="L204" s="322"/>
      <c r="M204" s="320"/>
      <c r="N204" s="320"/>
      <c r="O204" s="23"/>
      <c r="P204" s="23"/>
      <c r="Q204" s="230"/>
      <c r="R204" s="642"/>
      <c r="S204" s="642"/>
      <c r="T204" s="230"/>
      <c r="U204" s="230"/>
      <c r="V204" s="230"/>
      <c r="W204" s="230"/>
      <c r="X204" s="866"/>
      <c r="Y204" s="866"/>
      <c r="Z204" s="230"/>
      <c r="AA204" s="230"/>
      <c r="AB204" s="230"/>
      <c r="AD204" s="230"/>
      <c r="AE204" s="265"/>
      <c r="AF204" s="265"/>
      <c r="AG204" s="230"/>
      <c r="AH204" s="230"/>
      <c r="AI204" s="265"/>
      <c r="AJ204" s="265"/>
    </row>
    <row r="205" spans="1:57" hidden="1" x14ac:dyDescent="0.25">
      <c r="A205" s="666"/>
      <c r="B205" s="666"/>
      <c r="C205" s="666"/>
      <c r="D205" s="666"/>
      <c r="E205" s="666"/>
      <c r="F205" s="666"/>
      <c r="G205" s="666"/>
      <c r="H205" s="666"/>
      <c r="I205" s="666"/>
      <c r="J205" s="666"/>
      <c r="K205" s="666"/>
      <c r="L205" s="666"/>
      <c r="M205" s="668" t="s">
        <v>198</v>
      </c>
      <c r="N205" s="320"/>
      <c r="O205" s="23"/>
      <c r="P205" s="23"/>
      <c r="Q205" s="230"/>
      <c r="R205" s="642"/>
      <c r="S205" s="642"/>
      <c r="T205" s="230"/>
      <c r="U205" s="230"/>
      <c r="V205" s="230"/>
      <c r="W205" s="230"/>
      <c r="X205" s="866"/>
      <c r="Y205" s="866"/>
      <c r="Z205" s="230"/>
      <c r="AA205" s="230"/>
      <c r="AB205" s="230"/>
      <c r="AD205" s="230"/>
      <c r="AE205" s="265"/>
      <c r="AF205" s="265"/>
      <c r="AG205" s="230"/>
      <c r="AH205" s="230"/>
      <c r="AI205" s="265"/>
      <c r="AJ205" s="265"/>
    </row>
    <row r="206" spans="1:57" hidden="1" x14ac:dyDescent="0.25">
      <c r="A206" s="666"/>
      <c r="B206" s="666"/>
      <c r="C206" s="666"/>
      <c r="D206" s="666"/>
      <c r="E206" s="666"/>
      <c r="F206" s="666"/>
      <c r="G206" s="666"/>
      <c r="H206" s="666"/>
      <c r="I206" s="666"/>
      <c r="J206" s="666"/>
      <c r="K206" s="666"/>
      <c r="L206" s="666"/>
      <c r="M206" s="669">
        <v>0.69499999999999995</v>
      </c>
      <c r="N206" s="320"/>
      <c r="O206" s="23"/>
      <c r="P206" s="23"/>
      <c r="Q206" s="230"/>
      <c r="R206" s="642"/>
      <c r="S206" s="642"/>
      <c r="T206" s="230"/>
      <c r="U206" s="230"/>
      <c r="V206" s="230"/>
      <c r="W206" s="230"/>
      <c r="X206" s="866"/>
      <c r="Y206" s="866"/>
      <c r="Z206" s="230"/>
      <c r="AA206" s="230"/>
      <c r="AB206" s="230"/>
      <c r="AD206" s="230"/>
      <c r="AE206" s="265"/>
      <c r="AF206" s="265"/>
      <c r="AG206" s="230"/>
      <c r="AH206" s="230"/>
      <c r="AI206" s="265"/>
      <c r="AJ206" s="265"/>
    </row>
    <row r="207" spans="1:57" hidden="1" x14ac:dyDescent="0.25">
      <c r="A207" s="666"/>
      <c r="B207" s="666"/>
      <c r="C207" s="666"/>
      <c r="D207" s="666"/>
      <c r="E207" s="666"/>
      <c r="F207" s="666"/>
      <c r="G207" s="666"/>
      <c r="H207" s="666"/>
      <c r="I207" s="666"/>
      <c r="J207" s="666"/>
      <c r="K207" s="666"/>
      <c r="L207" s="666"/>
      <c r="M207" s="669">
        <v>0.34</v>
      </c>
      <c r="N207" s="320"/>
      <c r="O207" s="23"/>
      <c r="P207" s="23"/>
      <c r="Q207" s="230"/>
      <c r="R207" s="642"/>
      <c r="S207" s="642"/>
      <c r="T207" s="230"/>
      <c r="U207" s="230"/>
      <c r="V207" s="230"/>
      <c r="W207" s="230"/>
      <c r="X207" s="866"/>
      <c r="Y207" s="866"/>
      <c r="Z207" s="230"/>
      <c r="AA207" s="230"/>
      <c r="AB207" s="230"/>
      <c r="AD207" s="230"/>
      <c r="AE207" s="265"/>
      <c r="AF207" s="265"/>
      <c r="AG207" s="230"/>
      <c r="AH207" s="230"/>
      <c r="AI207" s="265"/>
      <c r="AJ207" s="265"/>
    </row>
    <row r="208" spans="1:57" hidden="1" x14ac:dyDescent="0.25">
      <c r="A208" s="666"/>
      <c r="B208" s="666"/>
      <c r="C208" s="666"/>
      <c r="D208" s="666"/>
      <c r="E208" s="666"/>
      <c r="F208" s="666"/>
      <c r="G208" s="666"/>
      <c r="H208" s="666"/>
      <c r="I208" s="666"/>
      <c r="J208" s="666"/>
      <c r="K208" s="666"/>
      <c r="L208" s="666"/>
      <c r="M208" s="669">
        <v>0.41</v>
      </c>
      <c r="N208" s="320"/>
      <c r="O208" s="23"/>
      <c r="P208" s="23"/>
      <c r="Q208" s="230"/>
      <c r="R208" s="642"/>
      <c r="S208" s="642"/>
      <c r="T208" s="230"/>
      <c r="U208" s="230"/>
      <c r="V208" s="230"/>
      <c r="W208" s="230"/>
      <c r="X208" s="866"/>
      <c r="Y208" s="866"/>
      <c r="Z208" s="230"/>
      <c r="AA208" s="230"/>
      <c r="AB208" s="230"/>
      <c r="AD208" s="230"/>
      <c r="AE208" s="265"/>
      <c r="AF208" s="265"/>
      <c r="AG208" s="230"/>
      <c r="AH208" s="230"/>
      <c r="AI208" s="265"/>
      <c r="AJ208" s="265"/>
    </row>
    <row r="209" spans="1:36" ht="15" hidden="1" thickTop="1" thickBot="1" x14ac:dyDescent="0.3">
      <c r="A209" s="323"/>
      <c r="B209" s="323"/>
      <c r="C209" s="323"/>
      <c r="D209" s="323"/>
      <c r="E209" s="323"/>
      <c r="F209" s="323"/>
      <c r="G209" s="323"/>
      <c r="H209" s="323"/>
      <c r="I209" s="323"/>
      <c r="J209" s="323"/>
      <c r="K209" s="323"/>
      <c r="L209" s="467" t="s">
        <v>203</v>
      </c>
      <c r="M209" s="468"/>
      <c r="N209" s="320"/>
      <c r="O209" s="23"/>
      <c r="P209" s="23"/>
      <c r="Q209" s="230"/>
      <c r="R209" s="642"/>
      <c r="S209" s="642"/>
      <c r="T209" s="230"/>
      <c r="U209" s="230"/>
      <c r="V209" s="230"/>
      <c r="W209" s="230"/>
      <c r="X209" s="866"/>
      <c r="Y209" s="866"/>
      <c r="Z209" s="230"/>
      <c r="AA209" s="230"/>
      <c r="AB209" s="230"/>
      <c r="AD209" s="230"/>
      <c r="AE209" s="265"/>
      <c r="AF209" s="265"/>
      <c r="AG209" s="230"/>
      <c r="AH209" s="230"/>
      <c r="AI209" s="265"/>
      <c r="AJ209" s="265"/>
    </row>
    <row r="210" spans="1:36" hidden="1" x14ac:dyDescent="0.25">
      <c r="A210" s="666"/>
      <c r="B210" s="666"/>
      <c r="C210" s="666"/>
      <c r="D210" s="666"/>
      <c r="E210" s="666"/>
      <c r="F210" s="666"/>
      <c r="G210" s="666"/>
      <c r="H210" s="666"/>
      <c r="I210" s="666"/>
      <c r="J210" s="666"/>
      <c r="K210" s="666"/>
      <c r="L210" s="666"/>
      <c r="M210" s="668" t="s">
        <v>205</v>
      </c>
      <c r="N210" s="666"/>
      <c r="O210" s="23"/>
      <c r="P210" s="23"/>
      <c r="Q210" s="230"/>
      <c r="R210" s="642"/>
      <c r="S210" s="642"/>
      <c r="T210" s="230"/>
      <c r="U210" s="230"/>
      <c r="V210" s="230"/>
      <c r="W210" s="230"/>
      <c r="X210" s="866"/>
      <c r="Y210" s="866"/>
      <c r="Z210" s="230"/>
      <c r="AA210" s="230"/>
      <c r="AB210" s="230"/>
      <c r="AD210" s="230"/>
      <c r="AE210" s="265"/>
      <c r="AF210" s="265"/>
      <c r="AG210" s="230"/>
      <c r="AH210" s="230"/>
      <c r="AI210" s="265"/>
      <c r="AJ210" s="265"/>
    </row>
    <row r="211" spans="1:36" hidden="1" x14ac:dyDescent="0.25">
      <c r="A211" s="666"/>
      <c r="B211" s="666"/>
      <c r="C211" s="666"/>
      <c r="D211" s="666"/>
      <c r="E211" s="666"/>
      <c r="F211" s="666"/>
      <c r="G211" s="666"/>
      <c r="H211" s="666"/>
      <c r="I211" s="666"/>
      <c r="J211" s="666"/>
      <c r="K211" s="666"/>
      <c r="L211" s="666"/>
      <c r="M211" s="669">
        <v>0.26</v>
      </c>
      <c r="N211" s="666"/>
      <c r="O211" s="23"/>
      <c r="P211" s="23"/>
      <c r="Q211" s="230"/>
      <c r="R211" s="642"/>
      <c r="S211" s="642"/>
      <c r="T211" s="230"/>
      <c r="U211" s="230"/>
      <c r="V211" s="230"/>
      <c r="W211" s="230"/>
      <c r="X211" s="866"/>
      <c r="Y211" s="866"/>
      <c r="Z211" s="230"/>
      <c r="AA211" s="230"/>
      <c r="AB211" s="230"/>
      <c r="AD211" s="230"/>
      <c r="AE211" s="265"/>
      <c r="AF211" s="265"/>
      <c r="AG211" s="230"/>
      <c r="AH211" s="230"/>
      <c r="AI211" s="265"/>
      <c r="AJ211" s="265"/>
    </row>
    <row r="212" spans="1:36" hidden="1" x14ac:dyDescent="0.25">
      <c r="A212" s="666"/>
      <c r="B212" s="666"/>
      <c r="C212" s="666"/>
      <c r="D212" s="666"/>
      <c r="E212" s="666"/>
      <c r="F212" s="666"/>
      <c r="G212" s="666"/>
      <c r="H212" s="666"/>
      <c r="I212" s="666"/>
      <c r="J212" s="666"/>
      <c r="K212" s="666"/>
      <c r="L212" s="666"/>
      <c r="M212" s="669">
        <v>0.34</v>
      </c>
      <c r="N212" s="666"/>
      <c r="O212" s="23"/>
      <c r="P212" s="23"/>
      <c r="Q212" s="230"/>
      <c r="R212" s="642"/>
      <c r="S212" s="642"/>
      <c r="T212" s="230"/>
      <c r="U212" s="230"/>
      <c r="V212" s="230"/>
      <c r="W212" s="230"/>
      <c r="X212" s="866"/>
      <c r="Y212" s="866"/>
      <c r="Z212" s="230"/>
      <c r="AA212" s="230"/>
      <c r="AB212" s="230"/>
      <c r="AD212" s="230"/>
      <c r="AE212" s="265"/>
      <c r="AF212" s="265"/>
      <c r="AG212" s="230"/>
      <c r="AH212" s="230"/>
      <c r="AI212" s="265"/>
      <c r="AJ212" s="265"/>
    </row>
    <row r="213" spans="1:36" hidden="1" x14ac:dyDescent="0.25">
      <c r="A213" s="666"/>
      <c r="B213" s="666"/>
      <c r="C213" s="666"/>
      <c r="D213" s="666"/>
      <c r="E213" s="666"/>
      <c r="F213" s="666"/>
      <c r="G213" s="666"/>
      <c r="H213" s="666"/>
      <c r="I213" s="666"/>
      <c r="J213" s="666"/>
      <c r="K213" s="666"/>
      <c r="L213" s="666"/>
      <c r="M213" s="669">
        <v>0.41</v>
      </c>
      <c r="N213" s="666"/>
      <c r="O213" s="23"/>
      <c r="P213" s="23"/>
      <c r="Q213" s="230"/>
      <c r="R213" s="642"/>
      <c r="S213" s="642"/>
      <c r="T213" s="230"/>
      <c r="U213" s="230"/>
      <c r="V213" s="230"/>
      <c r="W213" s="230"/>
      <c r="X213" s="866"/>
      <c r="Y213" s="866"/>
      <c r="Z213" s="230"/>
      <c r="AA213" s="230"/>
      <c r="AB213" s="230"/>
      <c r="AD213" s="230"/>
      <c r="AE213" s="265"/>
      <c r="AF213" s="265"/>
      <c r="AG213" s="230"/>
      <c r="AH213" s="230"/>
      <c r="AI213" s="265"/>
      <c r="AJ213" s="265"/>
    </row>
    <row r="214" spans="1:36" ht="20.25" hidden="1" customHeight="1" thickTop="1" thickBot="1" x14ac:dyDescent="0.3">
      <c r="A214" s="323"/>
      <c r="B214" s="323"/>
      <c r="C214" s="323"/>
      <c r="D214" s="323"/>
      <c r="E214" s="323"/>
      <c r="F214" s="323"/>
      <c r="G214" s="323"/>
      <c r="H214" s="323"/>
      <c r="I214" s="323"/>
      <c r="J214" s="323"/>
      <c r="K214" s="323"/>
      <c r="L214" s="467" t="s">
        <v>204</v>
      </c>
      <c r="M214" s="324"/>
      <c r="N214" s="320"/>
      <c r="O214" s="23"/>
      <c r="P214" s="23"/>
      <c r="Q214" s="230"/>
      <c r="R214" s="642"/>
      <c r="S214" s="642"/>
      <c r="T214" s="230"/>
      <c r="U214" s="230"/>
      <c r="V214" s="230"/>
      <c r="W214" s="230"/>
      <c r="X214" s="866"/>
      <c r="Y214" s="866"/>
      <c r="Z214" s="230"/>
      <c r="AA214" s="230"/>
      <c r="AB214" s="230"/>
      <c r="AD214" s="230"/>
      <c r="AE214" s="265"/>
      <c r="AF214" s="265"/>
      <c r="AG214" s="230"/>
      <c r="AH214" s="230"/>
      <c r="AI214" s="265"/>
      <c r="AJ214" s="265"/>
    </row>
    <row r="215" spans="1:36" hidden="1" x14ac:dyDescent="0.25">
      <c r="A215" s="319" t="s">
        <v>207</v>
      </c>
      <c r="B215" s="319"/>
      <c r="C215" s="320"/>
      <c r="D215" s="320"/>
      <c r="E215" s="320"/>
      <c r="F215" s="320"/>
      <c r="G215" s="320"/>
      <c r="H215" s="320"/>
      <c r="I215" s="320"/>
      <c r="J215" s="320"/>
      <c r="K215" s="320"/>
      <c r="L215" s="320"/>
      <c r="M215" s="320"/>
      <c r="N215" s="320"/>
      <c r="O215" s="23"/>
      <c r="P215" s="23"/>
      <c r="Q215" s="230"/>
      <c r="R215" s="642"/>
      <c r="S215" s="642"/>
      <c r="T215" s="230"/>
      <c r="U215" s="230"/>
      <c r="V215" s="230"/>
      <c r="W215" s="230"/>
      <c r="X215" s="866"/>
      <c r="Y215" s="866"/>
      <c r="Z215" s="230"/>
      <c r="AA215" s="230"/>
      <c r="AB215" s="230"/>
      <c r="AD215" s="230"/>
      <c r="AE215" s="265"/>
      <c r="AF215" s="265"/>
      <c r="AG215" s="230"/>
      <c r="AH215" s="230"/>
      <c r="AI215" s="265"/>
      <c r="AJ215" s="265"/>
    </row>
    <row r="216" spans="1:36" hidden="1" x14ac:dyDescent="0.25">
      <c r="A216" s="319" t="s">
        <v>347</v>
      </c>
      <c r="B216" s="319"/>
      <c r="C216" s="320"/>
      <c r="D216" s="320"/>
      <c r="E216" s="320"/>
      <c r="F216" s="320"/>
      <c r="G216" s="320"/>
      <c r="H216" s="320"/>
      <c r="I216" s="320"/>
      <c r="J216" s="320"/>
      <c r="K216" s="320"/>
      <c r="L216" s="320"/>
      <c r="M216" s="320"/>
      <c r="N216" s="320"/>
      <c r="O216" s="23"/>
      <c r="P216" s="23"/>
      <c r="Q216" s="230"/>
      <c r="R216" s="642"/>
      <c r="S216" s="642"/>
      <c r="T216" s="230"/>
      <c r="U216" s="230"/>
      <c r="V216" s="230"/>
      <c r="W216" s="230"/>
      <c r="X216" s="866"/>
      <c r="Y216" s="866"/>
      <c r="Z216" s="230"/>
      <c r="AA216" s="230"/>
      <c r="AB216" s="230"/>
      <c r="AD216" s="230"/>
      <c r="AE216" s="265"/>
      <c r="AF216" s="265"/>
      <c r="AG216" s="230"/>
      <c r="AH216" s="230"/>
      <c r="AI216" s="265"/>
      <c r="AJ216" s="265"/>
    </row>
    <row r="217" spans="1:36" hidden="1" x14ac:dyDescent="0.25">
      <c r="A217" s="319" t="s">
        <v>356</v>
      </c>
      <c r="B217" s="319"/>
      <c r="C217" s="320"/>
      <c r="D217" s="320"/>
      <c r="E217" s="320"/>
      <c r="F217" s="320"/>
      <c r="G217" s="320"/>
      <c r="H217" s="320"/>
      <c r="I217" s="320"/>
      <c r="J217" s="320"/>
      <c r="K217" s="320"/>
      <c r="L217" s="320"/>
      <c r="M217" s="320"/>
      <c r="N217" s="320"/>
      <c r="O217" s="23"/>
      <c r="P217" s="23"/>
      <c r="Q217" s="230"/>
      <c r="R217" s="642"/>
      <c r="S217" s="642"/>
      <c r="T217" s="230"/>
      <c r="U217" s="230"/>
      <c r="V217" s="230"/>
      <c r="W217" s="230"/>
      <c r="X217" s="866"/>
      <c r="Y217" s="866"/>
      <c r="Z217" s="230"/>
      <c r="AA217" s="230"/>
      <c r="AB217" s="230"/>
      <c r="AD217" s="230"/>
      <c r="AE217" s="265"/>
      <c r="AF217" s="265"/>
      <c r="AG217" s="230"/>
      <c r="AH217" s="230"/>
      <c r="AI217" s="265"/>
      <c r="AJ217" s="265"/>
    </row>
    <row r="218" spans="1:36" hidden="1" x14ac:dyDescent="0.25">
      <c r="A218" s="319" t="s">
        <v>210</v>
      </c>
      <c r="B218" s="319"/>
      <c r="C218" s="320"/>
      <c r="D218" s="320"/>
      <c r="E218" s="320"/>
      <c r="F218" s="320"/>
      <c r="G218" s="320"/>
      <c r="H218" s="320"/>
      <c r="I218" s="320"/>
      <c r="J218" s="320"/>
      <c r="K218" s="320"/>
      <c r="L218" s="320"/>
      <c r="M218" s="320"/>
      <c r="N218" s="320"/>
      <c r="O218" s="23"/>
      <c r="P218" s="23"/>
      <c r="Q218" s="230"/>
      <c r="R218" s="642"/>
      <c r="S218" s="642"/>
      <c r="T218" s="230"/>
      <c r="U218" s="230"/>
      <c r="V218" s="230"/>
      <c r="W218" s="230"/>
      <c r="X218" s="866"/>
      <c r="Y218" s="866"/>
      <c r="Z218" s="230"/>
      <c r="AA218" s="230"/>
      <c r="AB218" s="230"/>
      <c r="AD218" s="230"/>
      <c r="AE218" s="265"/>
      <c r="AF218" s="265"/>
      <c r="AG218" s="230"/>
      <c r="AH218" s="230"/>
      <c r="AI218" s="265"/>
      <c r="AJ218" s="265"/>
    </row>
    <row r="219" spans="1:36" ht="5.25" hidden="1" customHeight="1" x14ac:dyDescent="0.25">
      <c r="A219" s="319"/>
      <c r="B219" s="319"/>
      <c r="C219" s="320"/>
      <c r="D219" s="320"/>
      <c r="E219" s="320"/>
      <c r="F219" s="320"/>
      <c r="G219" s="320"/>
      <c r="H219" s="320"/>
      <c r="I219" s="320"/>
      <c r="J219" s="320"/>
      <c r="K219" s="320"/>
      <c r="L219" s="320"/>
      <c r="M219" s="320"/>
      <c r="N219" s="320"/>
      <c r="O219" s="23"/>
      <c r="P219" s="23"/>
      <c r="Q219" s="230"/>
      <c r="R219" s="642"/>
      <c r="S219" s="642"/>
      <c r="T219" s="230"/>
      <c r="U219" s="230"/>
      <c r="V219" s="230"/>
      <c r="W219" s="230"/>
      <c r="X219" s="866"/>
      <c r="Y219" s="866"/>
      <c r="Z219" s="230"/>
      <c r="AA219" s="230"/>
      <c r="AB219" s="230"/>
      <c r="AD219" s="230"/>
      <c r="AE219" s="265"/>
      <c r="AF219" s="265"/>
      <c r="AG219" s="230"/>
      <c r="AH219" s="230"/>
      <c r="AI219" s="265"/>
      <c r="AJ219" s="265"/>
    </row>
    <row r="220" spans="1:36" hidden="1" x14ac:dyDescent="0.25">
      <c r="A220" s="319" t="s">
        <v>225</v>
      </c>
      <c r="B220" s="319"/>
      <c r="C220" s="320"/>
      <c r="D220" s="320"/>
      <c r="E220" s="320"/>
      <c r="F220" s="320"/>
      <c r="G220" s="320"/>
      <c r="H220" s="320"/>
      <c r="I220" s="320"/>
      <c r="J220" s="320"/>
      <c r="K220" s="320"/>
      <c r="L220" s="320"/>
      <c r="M220" s="320"/>
      <c r="N220" s="320"/>
      <c r="O220" s="23"/>
      <c r="P220" s="23"/>
      <c r="Q220" s="230"/>
      <c r="R220" s="642"/>
      <c r="S220" s="642"/>
      <c r="T220" s="230"/>
      <c r="U220" s="230"/>
      <c r="V220" s="230"/>
      <c r="W220" s="230"/>
      <c r="X220" s="866"/>
      <c r="Y220" s="866"/>
      <c r="Z220" s="230"/>
      <c r="AA220" s="230"/>
      <c r="AB220" s="230"/>
      <c r="AD220" s="230"/>
      <c r="AE220" s="265"/>
      <c r="AF220" s="265"/>
      <c r="AG220" s="230"/>
      <c r="AH220" s="230"/>
      <c r="AI220" s="265"/>
      <c r="AJ220" s="265"/>
    </row>
    <row r="221" spans="1:36" hidden="1" x14ac:dyDescent="0.25">
      <c r="A221" s="319" t="s">
        <v>176</v>
      </c>
      <c r="B221" s="319"/>
      <c r="C221" s="320"/>
      <c r="D221" s="320"/>
      <c r="E221" s="320"/>
      <c r="F221" s="320"/>
      <c r="G221" s="320"/>
      <c r="H221" s="320"/>
      <c r="I221" s="320"/>
      <c r="J221" s="320"/>
      <c r="K221" s="320"/>
      <c r="L221" s="320"/>
      <c r="M221" s="320"/>
      <c r="N221" s="320"/>
      <c r="O221" s="23"/>
      <c r="P221" s="23"/>
      <c r="Q221" s="230"/>
      <c r="R221" s="642"/>
      <c r="S221" s="642"/>
      <c r="T221" s="230"/>
      <c r="U221" s="230"/>
      <c r="V221" s="230"/>
      <c r="W221" s="230"/>
      <c r="X221" s="866"/>
      <c r="Y221" s="866"/>
      <c r="Z221" s="230"/>
      <c r="AA221" s="230"/>
      <c r="AB221" s="230"/>
      <c r="AD221" s="230"/>
      <c r="AE221" s="265"/>
      <c r="AF221" s="265"/>
      <c r="AG221" s="230"/>
      <c r="AH221" s="230"/>
      <c r="AI221" s="265"/>
      <c r="AJ221" s="265"/>
    </row>
    <row r="222" spans="1:36" hidden="1" x14ac:dyDescent="0.25">
      <c r="A222" s="319" t="s">
        <v>214</v>
      </c>
      <c r="B222" s="319"/>
      <c r="C222" s="320"/>
      <c r="D222" s="320"/>
      <c r="E222" s="320"/>
      <c r="F222" s="320"/>
      <c r="G222" s="320"/>
      <c r="H222" s="320"/>
      <c r="I222" s="320"/>
      <c r="J222" s="320"/>
      <c r="K222" s="320"/>
      <c r="L222" s="320"/>
      <c r="M222" s="320"/>
      <c r="N222" s="320"/>
      <c r="O222" s="23"/>
      <c r="P222" s="23"/>
      <c r="Q222" s="230"/>
      <c r="R222" s="642"/>
      <c r="S222" s="642"/>
      <c r="T222" s="230"/>
      <c r="U222" s="230"/>
      <c r="V222" s="230"/>
      <c r="W222" s="230"/>
      <c r="X222" s="866"/>
      <c r="Y222" s="866"/>
      <c r="Z222" s="230"/>
      <c r="AA222" s="230"/>
      <c r="AB222" s="230"/>
      <c r="AD222" s="230"/>
      <c r="AE222" s="265"/>
      <c r="AF222" s="265"/>
      <c r="AG222" s="230"/>
      <c r="AH222" s="230"/>
      <c r="AI222" s="265"/>
      <c r="AJ222" s="265"/>
    </row>
    <row r="223" spans="1:36" hidden="1" x14ac:dyDescent="0.25">
      <c r="A223" s="319" t="s">
        <v>177</v>
      </c>
      <c r="B223" s="319"/>
      <c r="C223" s="320"/>
      <c r="D223" s="320"/>
      <c r="E223" s="320"/>
      <c r="F223" s="320"/>
      <c r="G223" s="320"/>
      <c r="H223" s="320"/>
      <c r="I223" s="320"/>
      <c r="J223" s="320"/>
      <c r="K223" s="320"/>
      <c r="L223" s="320"/>
      <c r="M223" s="320"/>
      <c r="N223" s="320"/>
      <c r="O223" s="23"/>
      <c r="P223" s="23"/>
      <c r="Q223" s="230"/>
      <c r="R223" s="642"/>
      <c r="S223" s="642"/>
      <c r="T223" s="230"/>
      <c r="U223" s="230"/>
      <c r="V223" s="230"/>
      <c r="W223" s="230"/>
      <c r="X223" s="866"/>
      <c r="Y223" s="866"/>
      <c r="Z223" s="230"/>
      <c r="AA223" s="230"/>
      <c r="AB223" s="230"/>
      <c r="AD223" s="230"/>
      <c r="AE223" s="265"/>
      <c r="AF223" s="265"/>
      <c r="AG223" s="230"/>
      <c r="AH223" s="230"/>
      <c r="AI223" s="265"/>
      <c r="AJ223" s="265"/>
    </row>
    <row r="224" spans="1:36" hidden="1" x14ac:dyDescent="0.25">
      <c r="A224" s="319" t="s">
        <v>215</v>
      </c>
      <c r="B224" s="319"/>
      <c r="C224" s="320"/>
      <c r="D224" s="320"/>
      <c r="E224" s="320"/>
      <c r="F224" s="320"/>
      <c r="G224" s="320"/>
      <c r="H224" s="320"/>
      <c r="I224" s="320"/>
      <c r="J224" s="320"/>
      <c r="K224" s="320"/>
      <c r="L224" s="320"/>
      <c r="M224" s="320"/>
      <c r="N224" s="320"/>
      <c r="O224" s="23"/>
      <c r="P224" s="23"/>
      <c r="Q224" s="230"/>
      <c r="R224" s="642"/>
      <c r="S224" s="642"/>
      <c r="T224" s="230"/>
      <c r="U224" s="230"/>
      <c r="V224" s="230"/>
      <c r="W224" s="230"/>
      <c r="X224" s="866"/>
      <c r="Y224" s="866"/>
      <c r="Z224" s="230"/>
      <c r="AA224" s="230"/>
      <c r="AB224" s="230"/>
      <c r="AD224" s="230"/>
      <c r="AE224" s="265"/>
      <c r="AF224" s="265"/>
      <c r="AG224" s="230"/>
      <c r="AH224" s="230"/>
      <c r="AI224" s="265"/>
      <c r="AJ224" s="265"/>
    </row>
    <row r="225" spans="1:64" hidden="1" x14ac:dyDescent="0.25">
      <c r="A225" s="319" t="s">
        <v>189</v>
      </c>
      <c r="B225" s="319"/>
      <c r="C225" s="320"/>
      <c r="D225" s="320"/>
      <c r="E225" s="320"/>
      <c r="F225" s="320"/>
      <c r="G225" s="320"/>
      <c r="H225" s="320"/>
      <c r="I225" s="320"/>
      <c r="J225" s="320"/>
      <c r="K225" s="320"/>
      <c r="L225" s="320"/>
      <c r="M225" s="320"/>
      <c r="N225" s="320"/>
      <c r="O225" s="23"/>
      <c r="P225" s="23"/>
      <c r="Q225" s="230"/>
      <c r="R225" s="642"/>
      <c r="S225" s="642"/>
      <c r="T225" s="230"/>
      <c r="U225" s="230"/>
      <c r="V225" s="230"/>
      <c r="W225" s="230"/>
      <c r="X225" s="866"/>
      <c r="Y225" s="866"/>
      <c r="Z225" s="230"/>
      <c r="AA225" s="230"/>
      <c r="AB225" s="230"/>
      <c r="AD225" s="230"/>
      <c r="AE225" s="265"/>
      <c r="AF225" s="265"/>
      <c r="AG225" s="230"/>
      <c r="AH225" s="230"/>
      <c r="AI225" s="265"/>
      <c r="AJ225" s="265"/>
    </row>
    <row r="226" spans="1:64" hidden="1" x14ac:dyDescent="0.25">
      <c r="A226" s="319" t="s">
        <v>216</v>
      </c>
      <c r="B226" s="319"/>
      <c r="C226" s="320"/>
      <c r="D226" s="320"/>
      <c r="E226" s="320"/>
      <c r="F226" s="320"/>
      <c r="G226" s="320"/>
      <c r="H226" s="320"/>
      <c r="I226" s="320"/>
      <c r="J226" s="320"/>
      <c r="K226" s="320"/>
      <c r="L226" s="320"/>
      <c r="M226" s="320"/>
      <c r="N226" s="320"/>
      <c r="O226" s="23"/>
      <c r="P226" s="23"/>
      <c r="Q226" s="230"/>
      <c r="R226" s="642"/>
      <c r="S226" s="642"/>
      <c r="T226" s="230"/>
      <c r="U226" s="230"/>
      <c r="V226" s="230"/>
      <c r="W226" s="230"/>
      <c r="X226" s="866"/>
      <c r="Y226" s="866"/>
      <c r="Z226" s="230"/>
      <c r="AA226" s="230"/>
      <c r="AB226" s="230"/>
      <c r="AD226" s="230"/>
      <c r="AE226" s="265"/>
      <c r="AF226" s="265"/>
      <c r="AG226" s="230"/>
      <c r="AH226" s="230"/>
      <c r="AI226" s="265"/>
      <c r="AJ226" s="265"/>
    </row>
    <row r="227" spans="1:64" hidden="1" x14ac:dyDescent="0.25">
      <c r="A227" s="319" t="s">
        <v>217</v>
      </c>
      <c r="B227" s="319"/>
      <c r="C227" s="320"/>
      <c r="D227" s="320"/>
      <c r="E227" s="320"/>
      <c r="F227" s="320"/>
      <c r="G227" s="320"/>
      <c r="H227" s="320"/>
      <c r="I227" s="320"/>
      <c r="J227" s="320"/>
      <c r="K227" s="320"/>
      <c r="L227" s="320"/>
      <c r="M227" s="320"/>
      <c r="N227" s="320"/>
      <c r="O227" s="23"/>
      <c r="P227" s="23"/>
      <c r="Q227" s="230"/>
      <c r="R227" s="642"/>
      <c r="S227" s="642"/>
      <c r="T227" s="230"/>
      <c r="U227" s="230"/>
      <c r="V227" s="230"/>
      <c r="W227" s="230"/>
      <c r="X227" s="866"/>
      <c r="Y227" s="866"/>
      <c r="Z227" s="230"/>
      <c r="AA227" s="230"/>
      <c r="AB227" s="230"/>
      <c r="AD227" s="230"/>
      <c r="AE227" s="265"/>
      <c r="AF227" s="265"/>
      <c r="AG227" s="230"/>
      <c r="AH227" s="230"/>
      <c r="AI227" s="265"/>
      <c r="AJ227" s="265"/>
    </row>
    <row r="228" spans="1:64" s="867" customFormat="1" hidden="1" x14ac:dyDescent="0.25">
      <c r="A228" s="436"/>
      <c r="B228" s="436"/>
      <c r="C228" s="436"/>
      <c r="D228" s="436"/>
      <c r="E228" s="436"/>
      <c r="F228" s="436"/>
      <c r="G228" s="436"/>
      <c r="H228" s="436"/>
      <c r="I228" s="436"/>
      <c r="J228" s="436"/>
      <c r="K228" s="437"/>
      <c r="L228" s="436"/>
      <c r="M228" s="436"/>
      <c r="N228" s="325"/>
      <c r="O228" s="23"/>
      <c r="P228" s="23"/>
      <c r="Q228" s="866"/>
      <c r="R228" s="642"/>
      <c r="S228" s="642"/>
      <c r="T228" s="866"/>
      <c r="U228" s="866"/>
      <c r="V228" s="866"/>
      <c r="W228" s="866"/>
      <c r="X228" s="866"/>
      <c r="Y228" s="866"/>
      <c r="Z228" s="866"/>
      <c r="AA228" s="866"/>
      <c r="AB228" s="866"/>
      <c r="AC228" s="866"/>
      <c r="AD228" s="866"/>
      <c r="AE228" s="868"/>
      <c r="AF228" s="868"/>
      <c r="AG228" s="866"/>
      <c r="AH228" s="866"/>
      <c r="AI228" s="868"/>
      <c r="AJ228" s="868"/>
      <c r="AU228" s="866"/>
      <c r="AV228" s="866"/>
      <c r="AW228" s="866"/>
      <c r="AX228" s="866"/>
      <c r="AY228" s="866"/>
      <c r="AZ228" s="866"/>
      <c r="BA228" s="866"/>
      <c r="BB228" s="866"/>
      <c r="BC228" s="866"/>
      <c r="BD228" s="866"/>
      <c r="BE228" s="866"/>
    </row>
    <row r="229" spans="1:64" s="867" customFormat="1" ht="18.600000000000001" thickBot="1" x14ac:dyDescent="0.3">
      <c r="A229" s="1235" t="s">
        <v>600</v>
      </c>
      <c r="B229" s="1235"/>
      <c r="C229" s="453"/>
      <c r="D229" s="453"/>
      <c r="E229" s="453"/>
      <c r="F229" s="453"/>
      <c r="G229" s="328"/>
      <c r="H229" s="328"/>
      <c r="I229" s="328"/>
      <c r="J229" s="328"/>
      <c r="K229" s="328"/>
      <c r="L229" s="328"/>
      <c r="M229" s="328"/>
      <c r="N229" s="443"/>
      <c r="O229" s="23"/>
      <c r="P229" s="23"/>
      <c r="Q229" s="866"/>
      <c r="R229" s="642"/>
      <c r="S229" s="642"/>
      <c r="T229" s="866"/>
      <c r="U229" s="866"/>
      <c r="V229" s="866"/>
      <c r="W229" s="866"/>
      <c r="X229" s="866"/>
      <c r="Y229" s="866"/>
      <c r="Z229" s="866"/>
      <c r="AA229" s="866"/>
      <c r="AB229" s="866"/>
      <c r="AC229" s="866"/>
      <c r="AD229" s="866"/>
      <c r="AE229" s="868"/>
      <c r="AF229" s="868"/>
      <c r="AG229" s="866"/>
      <c r="AH229" s="866"/>
      <c r="AI229" s="868"/>
      <c r="AJ229" s="868"/>
      <c r="AU229" s="866"/>
      <c r="AV229" s="866"/>
      <c r="AW229" s="866"/>
      <c r="AX229" s="866"/>
      <c r="AY229" s="866"/>
      <c r="AZ229" s="866"/>
      <c r="BA229" s="866"/>
      <c r="BB229" s="866"/>
      <c r="BC229" s="866"/>
      <c r="BD229" s="866"/>
      <c r="BE229" s="866"/>
    </row>
    <row r="230" spans="1:64" ht="15" thickTop="1" thickBot="1" x14ac:dyDescent="0.3">
      <c r="A230" s="1226" t="s">
        <v>564</v>
      </c>
      <c r="B230" s="1226"/>
      <c r="C230" s="319"/>
      <c r="D230" s="319"/>
      <c r="E230" s="319"/>
      <c r="F230" s="319"/>
      <c r="G230" s="320"/>
      <c r="H230" s="320"/>
      <c r="I230" s="320"/>
      <c r="J230" s="320"/>
      <c r="K230" s="320"/>
      <c r="L230" s="321" t="s">
        <v>59</v>
      </c>
      <c r="M230" s="320"/>
      <c r="N230" s="1094" t="s">
        <v>444</v>
      </c>
      <c r="O230" s="190"/>
      <c r="P230" s="190"/>
      <c r="Q230" s="230"/>
      <c r="R230" s="642"/>
      <c r="S230" s="642"/>
      <c r="T230" s="230"/>
      <c r="U230" s="230"/>
      <c r="V230" s="230"/>
      <c r="W230" s="230"/>
      <c r="X230" s="866"/>
      <c r="Y230" s="866"/>
      <c r="Z230" s="230"/>
      <c r="AA230" s="230"/>
      <c r="AB230" s="230"/>
      <c r="AD230" s="230"/>
      <c r="AE230" s="265"/>
      <c r="AF230" s="265"/>
      <c r="AG230" s="230"/>
      <c r="AH230" s="230"/>
      <c r="AI230" s="265"/>
      <c r="AJ230" s="265"/>
    </row>
    <row r="231" spans="1:64" ht="15" thickTop="1" thickBot="1" x14ac:dyDescent="0.3">
      <c r="A231" s="1226" t="s">
        <v>350</v>
      </c>
      <c r="B231" s="1226"/>
      <c r="C231" s="319"/>
      <c r="D231" s="319"/>
      <c r="E231" s="319"/>
      <c r="F231" s="319"/>
      <c r="G231" s="320"/>
      <c r="H231" s="320"/>
      <c r="I231" s="320"/>
      <c r="J231" s="320"/>
      <c r="K231" s="320"/>
      <c r="L231" s="320"/>
      <c r="M231" s="449"/>
      <c r="N231" s="320"/>
      <c r="O231" s="23"/>
      <c r="P231" s="23"/>
      <c r="Q231" s="230"/>
      <c r="R231" s="642"/>
      <c r="S231" s="642"/>
      <c r="T231" s="230"/>
      <c r="U231" s="230"/>
      <c r="V231" s="230"/>
      <c r="W231" s="230"/>
      <c r="X231" s="866"/>
      <c r="Y231" s="866"/>
      <c r="Z231" s="230"/>
      <c r="AA231" s="230"/>
      <c r="AB231" s="230"/>
      <c r="AD231" s="230"/>
      <c r="AE231" s="265"/>
      <c r="AF231" s="265"/>
      <c r="AG231" s="230"/>
      <c r="AH231" s="230"/>
      <c r="AI231" s="265"/>
      <c r="AJ231" s="265"/>
    </row>
    <row r="232" spans="1:64" s="56" customFormat="1" ht="15" thickTop="1" thickBot="1" x14ac:dyDescent="0.3">
      <c r="A232" s="453"/>
      <c r="B232" s="453"/>
      <c r="C232" s="453"/>
      <c r="D232" s="453"/>
      <c r="E232" s="453"/>
      <c r="F232" s="453"/>
      <c r="G232" s="328"/>
      <c r="H232" s="328"/>
      <c r="I232" s="328"/>
      <c r="J232" s="328"/>
      <c r="K232" s="328"/>
      <c r="L232" s="328"/>
      <c r="M232" s="328"/>
      <c r="N232" s="1223"/>
      <c r="O232" s="191"/>
      <c r="P232" s="191"/>
      <c r="Q232" s="326"/>
      <c r="R232" s="640"/>
      <c r="S232" s="640"/>
      <c r="T232" s="326"/>
      <c r="U232" s="326"/>
      <c r="V232" s="326"/>
      <c r="W232" s="326"/>
      <c r="X232" s="326"/>
      <c r="Y232" s="326"/>
      <c r="Z232" s="326"/>
      <c r="AA232" s="326"/>
      <c r="AB232" s="326"/>
      <c r="AC232" s="326"/>
      <c r="AD232" s="326"/>
      <c r="AE232" s="510"/>
      <c r="AF232" s="510"/>
      <c r="AG232" s="326"/>
      <c r="AH232" s="326"/>
      <c r="AI232" s="510"/>
      <c r="AJ232" s="510"/>
      <c r="AK232" s="13"/>
      <c r="AL232" s="13"/>
      <c r="AM232" s="13"/>
      <c r="AN232" s="13"/>
      <c r="AO232" s="13"/>
      <c r="AP232" s="13"/>
      <c r="AQ232" s="13"/>
      <c r="AR232" s="13"/>
      <c r="AS232" s="13"/>
      <c r="AT232" s="13"/>
      <c r="AU232" s="326"/>
      <c r="AV232" s="326"/>
      <c r="AW232" s="326"/>
      <c r="AX232" s="326"/>
      <c r="AY232" s="326"/>
      <c r="AZ232" s="326"/>
      <c r="BA232" s="326"/>
      <c r="BB232" s="326"/>
      <c r="BC232" s="326"/>
      <c r="BD232" s="326"/>
      <c r="BE232" s="326"/>
      <c r="BF232" s="13"/>
      <c r="BG232" s="13"/>
      <c r="BH232" s="13"/>
      <c r="BI232" s="13"/>
      <c r="BJ232" s="13"/>
      <c r="BK232" s="13"/>
      <c r="BL232" s="13"/>
    </row>
    <row r="233" spans="1:64" ht="16.5" customHeight="1" thickTop="1" thickBot="1" x14ac:dyDescent="0.3">
      <c r="A233" s="1093" t="s">
        <v>381</v>
      </c>
      <c r="B233" s="1093"/>
      <c r="C233" s="438"/>
      <c r="D233" s="438"/>
      <c r="E233" s="438"/>
      <c r="F233" s="438"/>
      <c r="G233" s="438"/>
      <c r="H233" s="438"/>
      <c r="I233" s="438"/>
      <c r="J233" s="438"/>
      <c r="K233" s="321" t="s">
        <v>60</v>
      </c>
      <c r="L233" s="438"/>
      <c r="M233" s="438"/>
      <c r="N233" s="1094" t="s">
        <v>114</v>
      </c>
      <c r="O233" s="192"/>
      <c r="P233" s="192"/>
      <c r="Q233" s="230"/>
      <c r="R233" s="642"/>
      <c r="S233" s="642"/>
      <c r="T233" s="230"/>
      <c r="U233" s="230"/>
      <c r="V233" s="230"/>
      <c r="W233" s="230"/>
      <c r="X233" s="866"/>
      <c r="Y233" s="866"/>
      <c r="Z233" s="230"/>
      <c r="AA233" s="230"/>
      <c r="AB233" s="230"/>
      <c r="AD233" s="230"/>
      <c r="AE233" s="265"/>
      <c r="AF233" s="265"/>
      <c r="AG233" s="230"/>
      <c r="AH233" s="230"/>
      <c r="AI233" s="265"/>
      <c r="AJ233" s="265"/>
    </row>
    <row r="234" spans="1:64" ht="15" thickTop="1" thickBot="1" x14ac:dyDescent="0.3">
      <c r="A234" s="1226" t="s">
        <v>319</v>
      </c>
      <c r="B234" s="1226"/>
      <c r="C234" s="319"/>
      <c r="D234" s="319"/>
      <c r="E234" s="319"/>
      <c r="F234" s="319"/>
      <c r="G234" s="320"/>
      <c r="H234" s="320"/>
      <c r="I234" s="320"/>
      <c r="J234" s="320"/>
      <c r="K234" s="320"/>
      <c r="L234" s="320"/>
      <c r="M234" s="320"/>
      <c r="N234" s="320"/>
      <c r="O234" s="23"/>
      <c r="P234" s="23"/>
      <c r="Q234" s="230"/>
      <c r="R234" s="642"/>
      <c r="S234" s="642"/>
      <c r="T234" s="230"/>
      <c r="U234" s="230"/>
      <c r="V234" s="230"/>
      <c r="W234" s="230"/>
      <c r="X234" s="866"/>
      <c r="Y234" s="866"/>
      <c r="Z234" s="230"/>
      <c r="AA234" s="230"/>
      <c r="AB234" s="230"/>
      <c r="AD234" s="230"/>
      <c r="AE234" s="265"/>
      <c r="AF234" s="265"/>
      <c r="AG234" s="230"/>
      <c r="AH234" s="230"/>
      <c r="AI234" s="265"/>
      <c r="AJ234" s="265"/>
    </row>
    <row r="235" spans="1:64" ht="15" thickTop="1" thickBot="1" x14ac:dyDescent="0.3">
      <c r="A235" s="319"/>
      <c r="B235" s="319"/>
      <c r="C235" s="319"/>
      <c r="D235" s="319"/>
      <c r="E235" s="319"/>
      <c r="F235" s="319"/>
      <c r="G235" s="320"/>
      <c r="H235" s="320"/>
      <c r="I235" s="320"/>
      <c r="J235" s="320"/>
      <c r="K235" s="320"/>
      <c r="L235" s="320"/>
      <c r="M235" s="320"/>
      <c r="N235" s="452"/>
      <c r="O235" s="191"/>
      <c r="P235" s="191"/>
      <c r="Q235" s="230"/>
      <c r="R235" s="642"/>
      <c r="S235" s="642"/>
      <c r="T235" s="230"/>
      <c r="U235" s="230"/>
      <c r="V235" s="230"/>
      <c r="W235" s="230"/>
      <c r="X235" s="866"/>
      <c r="Y235" s="866"/>
      <c r="Z235" s="230"/>
      <c r="AA235" s="230"/>
      <c r="AB235" s="230"/>
      <c r="AD235" s="230"/>
      <c r="AE235" s="265"/>
      <c r="AF235" s="265"/>
      <c r="AG235" s="230"/>
      <c r="AH235" s="230"/>
      <c r="AI235" s="265"/>
      <c r="AJ235" s="265"/>
    </row>
    <row r="236" spans="1:64" ht="15" thickTop="1" thickBot="1" x14ac:dyDescent="0.3">
      <c r="A236" s="319"/>
      <c r="B236" s="319"/>
      <c r="C236" s="319"/>
      <c r="D236" s="319"/>
      <c r="E236" s="319"/>
      <c r="F236" s="319"/>
      <c r="G236" s="320"/>
      <c r="H236" s="320"/>
      <c r="I236" s="320"/>
      <c r="J236" s="320"/>
      <c r="K236" s="320"/>
      <c r="L236" s="320"/>
      <c r="M236" s="320"/>
      <c r="N236" s="452"/>
      <c r="O236" s="191"/>
      <c r="P236" s="191"/>
      <c r="Q236" s="230"/>
      <c r="R236" s="642"/>
      <c r="S236" s="642"/>
      <c r="T236" s="230"/>
      <c r="U236" s="230"/>
      <c r="V236" s="230"/>
      <c r="W236" s="230"/>
      <c r="X236" s="866"/>
      <c r="Y236" s="866"/>
      <c r="Z236" s="230"/>
      <c r="AA236" s="230"/>
      <c r="AB236" s="230"/>
      <c r="AD236" s="230"/>
      <c r="AE236" s="265"/>
      <c r="AF236" s="265"/>
      <c r="AG236" s="230"/>
      <c r="AH236" s="230"/>
      <c r="AI236" s="265"/>
      <c r="AJ236" s="265"/>
    </row>
    <row r="237" spans="1:64" ht="15" thickTop="1" thickBot="1" x14ac:dyDescent="0.3">
      <c r="A237" s="319"/>
      <c r="B237" s="319"/>
      <c r="C237" s="319"/>
      <c r="D237" s="319"/>
      <c r="E237" s="319"/>
      <c r="F237" s="319"/>
      <c r="G237" s="320"/>
      <c r="H237" s="320"/>
      <c r="I237" s="320"/>
      <c r="J237" s="320"/>
      <c r="K237" s="320"/>
      <c r="L237" s="320"/>
      <c r="M237" s="320"/>
      <c r="N237" s="452"/>
      <c r="O237" s="191"/>
      <c r="P237" s="191"/>
      <c r="Q237" s="230"/>
      <c r="R237" s="642"/>
      <c r="S237" s="642"/>
      <c r="T237" s="230"/>
      <c r="U237" s="230"/>
      <c r="V237" s="230"/>
      <c r="W237" s="230"/>
      <c r="X237" s="866"/>
      <c r="Y237" s="866"/>
      <c r="Z237" s="230"/>
      <c r="AA237" s="230"/>
      <c r="AB237" s="230"/>
      <c r="AD237" s="230"/>
      <c r="AE237" s="265"/>
      <c r="AF237" s="265"/>
      <c r="AG237" s="230"/>
      <c r="AH237" s="230"/>
      <c r="AI237" s="265"/>
      <c r="AJ237" s="265"/>
    </row>
    <row r="238" spans="1:64" ht="14.4" thickTop="1" x14ac:dyDescent="0.25">
      <c r="A238" s="450"/>
      <c r="B238" s="450"/>
      <c r="C238" s="450"/>
      <c r="D238" s="450"/>
      <c r="E238" s="450"/>
      <c r="F238" s="450"/>
      <c r="G238" s="325"/>
      <c r="H238" s="325"/>
      <c r="I238" s="325"/>
      <c r="J238" s="325"/>
      <c r="K238" s="325"/>
      <c r="L238" s="325"/>
      <c r="M238" s="325"/>
      <c r="N238" s="451"/>
      <c r="O238" s="191"/>
      <c r="P238" s="191"/>
      <c r="Q238" s="230"/>
      <c r="R238" s="642"/>
      <c r="S238" s="642"/>
      <c r="T238" s="230"/>
      <c r="U238" s="230"/>
      <c r="V238" s="230"/>
      <c r="W238" s="230"/>
      <c r="X238" s="866"/>
      <c r="Y238" s="866"/>
      <c r="Z238" s="230"/>
      <c r="AA238" s="230"/>
      <c r="AB238" s="230"/>
      <c r="AD238" s="230"/>
      <c r="AE238" s="265"/>
      <c r="AF238" s="265"/>
      <c r="AG238" s="230"/>
      <c r="AH238" s="230"/>
      <c r="AI238" s="265"/>
      <c r="AJ238" s="265"/>
    </row>
    <row r="239" spans="1:64" s="867" customFormat="1" ht="26.1" customHeight="1" thickBot="1" x14ac:dyDescent="0.3">
      <c r="A239" s="1235" t="s">
        <v>566</v>
      </c>
      <c r="B239" s="1235"/>
      <c r="C239" s="453"/>
      <c r="D239" s="453"/>
      <c r="E239" s="453"/>
      <c r="F239" s="453"/>
      <c r="G239" s="328"/>
      <c r="H239" s="328"/>
      <c r="I239" s="328"/>
      <c r="J239" s="328"/>
      <c r="K239" s="328"/>
      <c r="L239" s="328"/>
      <c r="M239" s="328"/>
      <c r="N239" s="443"/>
      <c r="O239" s="23"/>
      <c r="P239" s="23"/>
      <c r="Q239" s="866"/>
      <c r="R239" s="642"/>
      <c r="S239" s="642"/>
      <c r="T239" s="866"/>
      <c r="U239" s="866"/>
      <c r="V239" s="866"/>
      <c r="W239" s="866"/>
      <c r="X239" s="866"/>
      <c r="Y239" s="866"/>
      <c r="Z239" s="866"/>
      <c r="AA239" s="866"/>
      <c r="AB239" s="866"/>
      <c r="AC239" s="866"/>
      <c r="AD239" s="866"/>
      <c r="AE239" s="868"/>
      <c r="AF239" s="868"/>
      <c r="AG239" s="866"/>
      <c r="AH239" s="866"/>
      <c r="AI239" s="868"/>
      <c r="AJ239" s="868"/>
      <c r="AU239" s="866"/>
      <c r="AV239" s="866"/>
      <c r="AW239" s="866"/>
      <c r="AX239" s="866"/>
      <c r="AY239" s="866"/>
      <c r="AZ239" s="866"/>
      <c r="BA239" s="866"/>
      <c r="BB239" s="866"/>
      <c r="BC239" s="866"/>
      <c r="BD239" s="866"/>
      <c r="BE239" s="866"/>
    </row>
    <row r="240" spans="1:64" ht="15" thickTop="1" thickBot="1" x14ac:dyDescent="0.3">
      <c r="A240" s="1226" t="s">
        <v>384</v>
      </c>
      <c r="B240" s="1226"/>
      <c r="C240" s="319"/>
      <c r="D240" s="319"/>
      <c r="E240" s="319"/>
      <c r="F240" s="319"/>
      <c r="G240" s="320"/>
      <c r="H240" s="320"/>
      <c r="I240" s="320"/>
      <c r="J240" s="320"/>
      <c r="K240" s="309"/>
      <c r="L240" s="321" t="s">
        <v>59</v>
      </c>
      <c r="M240" s="320"/>
      <c r="N240" s="1094" t="s">
        <v>52</v>
      </c>
      <c r="O240" s="23"/>
      <c r="P240" s="23"/>
      <c r="Q240" s="230"/>
      <c r="R240" s="642"/>
      <c r="S240" s="642"/>
      <c r="T240" s="230"/>
      <c r="U240" s="230"/>
      <c r="V240" s="230"/>
      <c r="W240" s="230"/>
      <c r="X240" s="866"/>
      <c r="Y240" s="866"/>
      <c r="Z240" s="230"/>
      <c r="AA240" s="230"/>
      <c r="AB240" s="230"/>
      <c r="AD240" s="230"/>
      <c r="AE240" s="265"/>
      <c r="AF240" s="265"/>
      <c r="AG240" s="230"/>
      <c r="AH240" s="230"/>
      <c r="AI240" s="265"/>
      <c r="AJ240" s="265"/>
    </row>
    <row r="241" spans="1:57" ht="15" hidden="1" thickTop="1" thickBot="1" x14ac:dyDescent="0.3">
      <c r="A241" s="665"/>
      <c r="B241" s="665"/>
      <c r="C241" s="665"/>
      <c r="D241" s="665"/>
      <c r="E241" s="665"/>
      <c r="F241" s="665"/>
      <c r="G241" s="666"/>
      <c r="H241" s="666"/>
      <c r="I241" s="666"/>
      <c r="J241" s="666"/>
      <c r="K241" s="667"/>
      <c r="L241" s="666"/>
      <c r="M241" s="668" t="s">
        <v>56</v>
      </c>
      <c r="N241" s="666"/>
      <c r="O241" s="23"/>
      <c r="P241" s="23"/>
      <c r="Q241" s="230"/>
      <c r="R241" s="642"/>
      <c r="S241" s="642"/>
      <c r="T241" s="230"/>
      <c r="U241" s="230"/>
      <c r="V241" s="230"/>
      <c r="W241" s="230"/>
      <c r="X241" s="866"/>
      <c r="Y241" s="866"/>
      <c r="Z241" s="230"/>
      <c r="AA241" s="230"/>
      <c r="AB241" s="230"/>
      <c r="AD241" s="230"/>
      <c r="AE241" s="265"/>
      <c r="AF241" s="265"/>
      <c r="AG241" s="230"/>
      <c r="AH241" s="230"/>
      <c r="AI241" s="265"/>
      <c r="AJ241" s="265"/>
    </row>
    <row r="242" spans="1:57" ht="15" hidden="1" thickTop="1" thickBot="1" x14ac:dyDescent="0.3">
      <c r="A242" s="665"/>
      <c r="B242" s="665"/>
      <c r="C242" s="665"/>
      <c r="D242" s="665"/>
      <c r="E242" s="665"/>
      <c r="F242" s="665"/>
      <c r="G242" s="666"/>
      <c r="H242" s="666"/>
      <c r="I242" s="666"/>
      <c r="J242" s="666"/>
      <c r="K242" s="667"/>
      <c r="L242" s="666"/>
      <c r="M242" s="669">
        <v>0</v>
      </c>
      <c r="N242" s="666"/>
      <c r="O242" s="23"/>
      <c r="P242" s="23"/>
      <c r="Q242" s="230"/>
      <c r="R242" s="642"/>
      <c r="S242" s="642"/>
      <c r="T242" s="230"/>
      <c r="U242" s="230"/>
      <c r="V242" s="230"/>
      <c r="W242" s="230"/>
      <c r="X242" s="866"/>
      <c r="Y242" s="866"/>
      <c r="Z242" s="230"/>
      <c r="AA242" s="230"/>
      <c r="AB242" s="230"/>
      <c r="AD242" s="230"/>
      <c r="AE242" s="265"/>
      <c r="AF242" s="265"/>
      <c r="AG242" s="230"/>
      <c r="AH242" s="230"/>
      <c r="AI242" s="265"/>
      <c r="AJ242" s="265"/>
    </row>
    <row r="243" spans="1:57" ht="15" hidden="1" thickTop="1" thickBot="1" x14ac:dyDescent="0.3">
      <c r="A243" s="665"/>
      <c r="B243" s="665"/>
      <c r="C243" s="665"/>
      <c r="D243" s="665"/>
      <c r="E243" s="665"/>
      <c r="F243" s="665"/>
      <c r="G243" s="666"/>
      <c r="H243" s="666"/>
      <c r="I243" s="666"/>
      <c r="J243" s="666"/>
      <c r="K243" s="667"/>
      <c r="L243" s="666"/>
      <c r="M243" s="669">
        <v>0.08</v>
      </c>
      <c r="N243" s="666"/>
      <c r="O243" s="23"/>
      <c r="P243" s="23"/>
      <c r="Q243" s="230"/>
      <c r="R243" s="642"/>
      <c r="S243" s="642"/>
      <c r="T243" s="230"/>
      <c r="U243" s="230"/>
      <c r="V243" s="230"/>
      <c r="W243" s="230"/>
      <c r="X243" s="866"/>
      <c r="Y243" s="866"/>
      <c r="Z243" s="230"/>
      <c r="AA243" s="230"/>
      <c r="AB243" s="230"/>
      <c r="AD243" s="230"/>
      <c r="AE243" s="265"/>
      <c r="AF243" s="265"/>
      <c r="AG243" s="230"/>
      <c r="AH243" s="230"/>
      <c r="AI243" s="265"/>
      <c r="AJ243" s="265"/>
    </row>
    <row r="244" spans="1:57" ht="15" hidden="1" thickTop="1" thickBot="1" x14ac:dyDescent="0.3">
      <c r="A244" s="665"/>
      <c r="B244" s="665"/>
      <c r="C244" s="665"/>
      <c r="D244" s="665"/>
      <c r="E244" s="665"/>
      <c r="F244" s="665"/>
      <c r="G244" s="666"/>
      <c r="H244" s="666"/>
      <c r="I244" s="666"/>
      <c r="J244" s="666"/>
      <c r="K244" s="667"/>
      <c r="L244" s="666"/>
      <c r="M244" s="669">
        <v>0.1</v>
      </c>
      <c r="N244" s="666"/>
      <c r="O244" s="23"/>
      <c r="P244" s="23"/>
      <c r="Q244" s="230"/>
      <c r="R244" s="642"/>
      <c r="S244" s="642"/>
      <c r="T244" s="230"/>
      <c r="U244" s="230"/>
      <c r="V244" s="230"/>
      <c r="W244" s="230"/>
      <c r="X244" s="866"/>
      <c r="Y244" s="866"/>
      <c r="Z244" s="230"/>
      <c r="AA244" s="230"/>
      <c r="AB244" s="230"/>
      <c r="AD244" s="230"/>
      <c r="AE244" s="265"/>
      <c r="AF244" s="265"/>
      <c r="AG244" s="230"/>
      <c r="AH244" s="230"/>
      <c r="AI244" s="265"/>
      <c r="AJ244" s="265"/>
    </row>
    <row r="245" spans="1:57" ht="15" hidden="1" thickTop="1" thickBot="1" x14ac:dyDescent="0.3">
      <c r="A245" s="665"/>
      <c r="B245" s="665"/>
      <c r="C245" s="665"/>
      <c r="D245" s="665"/>
      <c r="E245" s="665"/>
      <c r="F245" s="665"/>
      <c r="G245" s="666"/>
      <c r="H245" s="666"/>
      <c r="I245" s="666"/>
      <c r="J245" s="666"/>
      <c r="K245" s="667"/>
      <c r="L245" s="666"/>
      <c r="M245" s="669">
        <v>0.15</v>
      </c>
      <c r="N245" s="666"/>
      <c r="O245" s="23"/>
      <c r="P245" s="23"/>
      <c r="Q245" s="230"/>
      <c r="R245" s="642"/>
      <c r="S245" s="642"/>
      <c r="T245" s="230"/>
      <c r="U245" s="230"/>
      <c r="V245" s="230"/>
      <c r="W245" s="230"/>
      <c r="X245" s="866"/>
      <c r="Y245" s="866"/>
      <c r="Z245" s="230"/>
      <c r="AA245" s="230"/>
      <c r="AB245" s="230"/>
      <c r="AD245" s="230"/>
      <c r="AE245" s="265"/>
      <c r="AF245" s="265"/>
      <c r="AG245" s="230"/>
      <c r="AH245" s="230"/>
      <c r="AI245" s="265"/>
      <c r="AJ245" s="265"/>
    </row>
    <row r="246" spans="1:57" ht="15" hidden="1" thickTop="1" thickBot="1" x14ac:dyDescent="0.3">
      <c r="A246" s="665"/>
      <c r="B246" s="665"/>
      <c r="C246" s="665"/>
      <c r="D246" s="665"/>
      <c r="E246" s="665"/>
      <c r="F246" s="665"/>
      <c r="G246" s="666"/>
      <c r="H246" s="666"/>
      <c r="I246" s="666"/>
      <c r="J246" s="666"/>
      <c r="K246" s="667"/>
      <c r="L246" s="666"/>
      <c r="M246" s="669">
        <v>0.2</v>
      </c>
      <c r="N246" s="666"/>
      <c r="O246" s="23"/>
      <c r="P246" s="23"/>
      <c r="Q246" s="230"/>
      <c r="R246" s="642"/>
      <c r="S246" s="642"/>
      <c r="T246" s="230"/>
      <c r="U246" s="230"/>
      <c r="V246" s="230"/>
      <c r="W246" s="230"/>
      <c r="X246" s="866"/>
      <c r="Y246" s="866"/>
      <c r="Z246" s="230"/>
      <c r="AA246" s="230"/>
      <c r="AB246" s="230"/>
      <c r="AD246" s="230"/>
      <c r="AE246" s="265"/>
      <c r="AF246" s="265"/>
      <c r="AG246" s="230"/>
      <c r="AH246" s="230"/>
      <c r="AI246" s="265"/>
      <c r="AJ246" s="265"/>
    </row>
    <row r="247" spans="1:57" ht="15" hidden="1" thickTop="1" thickBot="1" x14ac:dyDescent="0.3">
      <c r="A247" s="665"/>
      <c r="B247" s="665"/>
      <c r="C247" s="665"/>
      <c r="D247" s="665"/>
      <c r="E247" s="665"/>
      <c r="F247" s="665"/>
      <c r="G247" s="666"/>
      <c r="H247" s="666"/>
      <c r="I247" s="666"/>
      <c r="J247" s="666"/>
      <c r="K247" s="667"/>
      <c r="L247" s="666"/>
      <c r="M247" s="669">
        <v>0.25</v>
      </c>
      <c r="N247" s="666"/>
      <c r="O247" s="23"/>
      <c r="P247" s="23"/>
      <c r="Q247" s="230"/>
      <c r="R247" s="642"/>
      <c r="S247" s="642"/>
      <c r="T247" s="230"/>
      <c r="U247" s="230"/>
      <c r="V247" s="230"/>
      <c r="W247" s="230"/>
      <c r="X247" s="866"/>
      <c r="Y247" s="866"/>
      <c r="Z247" s="230"/>
      <c r="AA247" s="230"/>
      <c r="AB247" s="230"/>
      <c r="AD247" s="230"/>
      <c r="AE247" s="265"/>
      <c r="AF247" s="265"/>
      <c r="AG247" s="230"/>
      <c r="AH247" s="230"/>
      <c r="AI247" s="265"/>
      <c r="AJ247" s="265"/>
    </row>
    <row r="248" spans="1:57" ht="15" hidden="1" thickTop="1" thickBot="1" x14ac:dyDescent="0.3">
      <c r="A248" s="665"/>
      <c r="B248" s="665"/>
      <c r="C248" s="665"/>
      <c r="D248" s="665"/>
      <c r="E248" s="665"/>
      <c r="F248" s="665"/>
      <c r="G248" s="666"/>
      <c r="H248" s="666"/>
      <c r="I248" s="666"/>
      <c r="J248" s="666"/>
      <c r="K248" s="667"/>
      <c r="L248" s="666"/>
      <c r="M248" s="669">
        <v>0.26</v>
      </c>
      <c r="N248" s="666"/>
      <c r="O248" s="23"/>
      <c r="P248" s="23"/>
      <c r="Q248" s="230"/>
      <c r="R248" s="642"/>
      <c r="S248" s="642"/>
      <c r="T248" s="230"/>
      <c r="U248" s="230"/>
      <c r="V248" s="230"/>
      <c r="W248" s="230"/>
      <c r="X248" s="866"/>
      <c r="Y248" s="866"/>
      <c r="Z248" s="230"/>
      <c r="AA248" s="230"/>
      <c r="AB248" s="230"/>
      <c r="AD248" s="230"/>
      <c r="AE248" s="265"/>
      <c r="AF248" s="265"/>
      <c r="AG248" s="230"/>
      <c r="AH248" s="230"/>
      <c r="AI248" s="265"/>
      <c r="AJ248" s="265"/>
    </row>
    <row r="249" spans="1:57" ht="15" hidden="1" thickTop="1" thickBot="1" x14ac:dyDescent="0.3">
      <c r="A249" s="665"/>
      <c r="B249" s="665"/>
      <c r="C249" s="665"/>
      <c r="D249" s="665"/>
      <c r="E249" s="665"/>
      <c r="F249" s="665"/>
      <c r="G249" s="666"/>
      <c r="H249" s="666"/>
      <c r="I249" s="666"/>
      <c r="J249" s="666"/>
      <c r="K249" s="667"/>
      <c r="L249" s="666"/>
      <c r="M249" s="669">
        <v>0.3</v>
      </c>
      <c r="N249" s="666"/>
      <c r="O249" s="23"/>
      <c r="P249" s="23"/>
      <c r="Q249" s="230"/>
      <c r="R249" s="642"/>
      <c r="S249" s="642"/>
      <c r="T249" s="230"/>
      <c r="U249" s="230"/>
      <c r="V249" s="230"/>
      <c r="W249" s="230"/>
      <c r="X249" s="866"/>
      <c r="Y249" s="866"/>
      <c r="Z249" s="230"/>
      <c r="AA249" s="230"/>
      <c r="AB249" s="230"/>
      <c r="AD249" s="230"/>
      <c r="AE249" s="265"/>
      <c r="AF249" s="265"/>
      <c r="AG249" s="230"/>
      <c r="AH249" s="230"/>
      <c r="AI249" s="265"/>
      <c r="AJ249" s="265"/>
    </row>
    <row r="250" spans="1:57" s="867" customFormat="1" ht="15" hidden="1" thickTop="1" thickBot="1" x14ac:dyDescent="0.3">
      <c r="A250" s="665"/>
      <c r="B250" s="665"/>
      <c r="C250" s="665"/>
      <c r="D250" s="665"/>
      <c r="E250" s="665"/>
      <c r="F250" s="665"/>
      <c r="G250" s="666"/>
      <c r="H250" s="666"/>
      <c r="I250" s="666"/>
      <c r="J250" s="666"/>
      <c r="K250" s="667"/>
      <c r="L250" s="666"/>
      <c r="M250" s="669">
        <v>0.33500000000000002</v>
      </c>
      <c r="N250" s="666"/>
      <c r="O250" s="23"/>
      <c r="P250" s="23"/>
      <c r="Q250" s="866"/>
      <c r="R250" s="642"/>
      <c r="S250" s="642"/>
      <c r="T250" s="866"/>
      <c r="U250" s="866"/>
      <c r="V250" s="866"/>
      <c r="W250" s="866"/>
      <c r="X250" s="866"/>
      <c r="Y250" s="866"/>
      <c r="Z250" s="866"/>
      <c r="AA250" s="866"/>
      <c r="AB250" s="866"/>
      <c r="AC250" s="866"/>
      <c r="AD250" s="866"/>
      <c r="AE250" s="868"/>
      <c r="AF250" s="868"/>
      <c r="AG250" s="866"/>
      <c r="AH250" s="866"/>
      <c r="AI250" s="868"/>
      <c r="AJ250" s="868"/>
      <c r="AU250" s="866"/>
      <c r="AV250" s="866"/>
      <c r="AW250" s="866"/>
      <c r="AX250" s="866"/>
      <c r="AY250" s="866"/>
      <c r="AZ250" s="866"/>
      <c r="BA250" s="866"/>
      <c r="BB250" s="866"/>
      <c r="BC250" s="866"/>
      <c r="BD250" s="866"/>
      <c r="BE250" s="866"/>
    </row>
    <row r="251" spans="1:57" ht="15" hidden="1" thickTop="1" thickBot="1" x14ac:dyDescent="0.3">
      <c r="A251" s="665"/>
      <c r="B251" s="665"/>
      <c r="C251" s="665"/>
      <c r="D251" s="665"/>
      <c r="E251" s="665"/>
      <c r="F251" s="665"/>
      <c r="G251" s="666"/>
      <c r="H251" s="666"/>
      <c r="I251" s="666"/>
      <c r="J251" s="666"/>
      <c r="K251" s="667"/>
      <c r="L251" s="666"/>
      <c r="M251" s="669">
        <v>0.34</v>
      </c>
      <c r="N251" s="666"/>
      <c r="O251" s="23"/>
      <c r="P251" s="23"/>
      <c r="Q251" s="230"/>
      <c r="R251" s="642"/>
      <c r="S251" s="642"/>
      <c r="T251" s="230"/>
      <c r="U251" s="230"/>
      <c r="V251" s="230"/>
      <c r="W251" s="230"/>
      <c r="X251" s="866"/>
      <c r="Y251" s="866"/>
      <c r="Z251" s="230"/>
      <c r="AA251" s="230"/>
      <c r="AB251" s="230"/>
      <c r="AD251" s="230"/>
      <c r="AE251" s="265"/>
      <c r="AF251" s="265"/>
      <c r="AG251" s="230"/>
      <c r="AH251" s="230"/>
      <c r="AI251" s="265"/>
      <c r="AJ251" s="265"/>
    </row>
    <row r="252" spans="1:57" ht="15" hidden="1" thickTop="1" thickBot="1" x14ac:dyDescent="0.3">
      <c r="A252" s="665"/>
      <c r="B252" s="665"/>
      <c r="C252" s="665"/>
      <c r="D252" s="665"/>
      <c r="E252" s="665"/>
      <c r="F252" s="665"/>
      <c r="G252" s="666"/>
      <c r="H252" s="666"/>
      <c r="I252" s="666"/>
      <c r="J252" s="666"/>
      <c r="K252" s="667"/>
      <c r="L252" s="666"/>
      <c r="M252" s="669">
        <v>0.35</v>
      </c>
      <c r="N252" s="666"/>
      <c r="O252" s="23"/>
      <c r="P252" s="23"/>
      <c r="Q252" s="230"/>
      <c r="R252" s="642"/>
      <c r="S252" s="642"/>
      <c r="T252" s="230"/>
      <c r="U252" s="230"/>
      <c r="V252" s="230"/>
      <c r="W252" s="230"/>
      <c r="X252" s="866"/>
      <c r="Y252" s="866"/>
      <c r="Z252" s="230"/>
      <c r="AA252" s="230"/>
      <c r="AB252" s="230"/>
      <c r="AD252" s="230"/>
      <c r="AE252" s="265"/>
      <c r="AF252" s="265"/>
      <c r="AG252" s="230"/>
      <c r="AH252" s="230"/>
      <c r="AI252" s="265"/>
      <c r="AJ252" s="265"/>
    </row>
    <row r="253" spans="1:57" s="867" customFormat="1" ht="15" hidden="1" thickTop="1" thickBot="1" x14ac:dyDescent="0.3">
      <c r="A253" s="665"/>
      <c r="B253" s="665"/>
      <c r="C253" s="665"/>
      <c r="D253" s="665"/>
      <c r="E253" s="665"/>
      <c r="F253" s="665"/>
      <c r="G253" s="666"/>
      <c r="H253" s="666"/>
      <c r="I253" s="666"/>
      <c r="J253" s="666"/>
      <c r="K253" s="667"/>
      <c r="L253" s="666"/>
      <c r="M253" s="669">
        <v>0.376</v>
      </c>
      <c r="N253" s="666"/>
      <c r="O253" s="23"/>
      <c r="P253" s="23"/>
      <c r="Q253" s="866"/>
      <c r="R253" s="642"/>
      <c r="S253" s="642"/>
      <c r="T253" s="866"/>
      <c r="U253" s="866"/>
      <c r="V253" s="866"/>
      <c r="W253" s="866"/>
      <c r="X253" s="866"/>
      <c r="Y253" s="866"/>
      <c r="Z253" s="866"/>
      <c r="AA253" s="866"/>
      <c r="AB253" s="866"/>
      <c r="AC253" s="866"/>
      <c r="AD253" s="866"/>
      <c r="AE253" s="868"/>
      <c r="AF253" s="868"/>
      <c r="AG253" s="866"/>
      <c r="AH253" s="866"/>
      <c r="AI253" s="868"/>
      <c r="AJ253" s="868"/>
      <c r="AU253" s="866"/>
      <c r="AV253" s="866"/>
      <c r="AW253" s="866"/>
      <c r="AX253" s="866"/>
      <c r="AY253" s="866"/>
      <c r="AZ253" s="866"/>
      <c r="BA253" s="866"/>
      <c r="BB253" s="866"/>
      <c r="BC253" s="866"/>
      <c r="BD253" s="866"/>
      <c r="BE253" s="866"/>
    </row>
    <row r="254" spans="1:57" ht="15" hidden="1" thickTop="1" thickBot="1" x14ac:dyDescent="0.3">
      <c r="A254" s="665"/>
      <c r="B254" s="665"/>
      <c r="C254" s="665"/>
      <c r="D254" s="665"/>
      <c r="E254" s="665"/>
      <c r="F254" s="665"/>
      <c r="G254" s="666"/>
      <c r="H254" s="666"/>
      <c r="I254" s="666"/>
      <c r="J254" s="666"/>
      <c r="K254" s="667"/>
      <c r="L254" s="666"/>
      <c r="M254" s="669">
        <v>0.4</v>
      </c>
      <c r="N254" s="666"/>
      <c r="O254" s="23"/>
      <c r="P254" s="23"/>
      <c r="Q254" s="230"/>
      <c r="R254" s="642"/>
      <c r="S254" s="642"/>
      <c r="T254" s="230"/>
      <c r="U254" s="230"/>
      <c r="V254" s="230"/>
      <c r="W254" s="230"/>
      <c r="X254" s="866"/>
      <c r="Y254" s="866"/>
      <c r="Z254" s="230"/>
      <c r="AA254" s="230"/>
      <c r="AB254" s="230"/>
      <c r="AD254" s="230"/>
      <c r="AE254" s="265"/>
      <c r="AF254" s="265"/>
      <c r="AG254" s="230"/>
      <c r="AH254" s="230"/>
      <c r="AI254" s="265"/>
      <c r="AJ254" s="265"/>
    </row>
    <row r="255" spans="1:57" ht="15" hidden="1" thickTop="1" thickBot="1" x14ac:dyDescent="0.3">
      <c r="A255" s="665"/>
      <c r="B255" s="665"/>
      <c r="C255" s="665"/>
      <c r="D255" s="665"/>
      <c r="E255" s="665"/>
      <c r="F255" s="665"/>
      <c r="G255" s="666"/>
      <c r="H255" s="666"/>
      <c r="I255" s="666"/>
      <c r="J255" s="666"/>
      <c r="K255" s="667"/>
      <c r="L255" s="666"/>
      <c r="M255" s="669">
        <v>0.41</v>
      </c>
      <c r="N255" s="666"/>
      <c r="O255" s="23"/>
      <c r="P255" s="23"/>
      <c r="Q255" s="230"/>
      <c r="R255" s="642"/>
      <c r="S255" s="642"/>
      <c r="T255" s="230"/>
      <c r="U255" s="230"/>
      <c r="V255" s="230"/>
      <c r="W255" s="230"/>
      <c r="X255" s="866"/>
      <c r="Y255" s="866"/>
      <c r="Z255" s="230"/>
      <c r="AA255" s="230"/>
      <c r="AB255" s="230"/>
      <c r="AD255" s="230"/>
      <c r="AE255" s="265"/>
      <c r="AF255" s="265"/>
      <c r="AG255" s="230"/>
      <c r="AH255" s="230"/>
      <c r="AI255" s="265"/>
      <c r="AJ255" s="265"/>
    </row>
    <row r="256" spans="1:57" s="867" customFormat="1" ht="15" hidden="1" thickTop="1" thickBot="1" x14ac:dyDescent="0.3">
      <c r="A256" s="665"/>
      <c r="B256" s="665"/>
      <c r="C256" s="665"/>
      <c r="D256" s="665"/>
      <c r="E256" s="665"/>
      <c r="F256" s="665"/>
      <c r="G256" s="666"/>
      <c r="H256" s="666"/>
      <c r="I256" s="666"/>
      <c r="J256" s="666"/>
      <c r="K256" s="667"/>
      <c r="L256" s="666"/>
      <c r="M256" s="669">
        <v>0.69</v>
      </c>
      <c r="N256" s="666"/>
      <c r="O256" s="23"/>
      <c r="P256" s="23"/>
      <c r="Q256" s="866"/>
      <c r="R256" s="642"/>
      <c r="S256" s="642"/>
      <c r="T256" s="866"/>
      <c r="U256" s="866"/>
      <c r="V256" s="866"/>
      <c r="W256" s="866"/>
      <c r="X256" s="866"/>
      <c r="Y256" s="866"/>
      <c r="Z256" s="866"/>
      <c r="AA256" s="866"/>
      <c r="AB256" s="866"/>
      <c r="AC256" s="866"/>
      <c r="AD256" s="866"/>
      <c r="AE256" s="868"/>
      <c r="AF256" s="868"/>
      <c r="AG256" s="866"/>
      <c r="AH256" s="866"/>
      <c r="AI256" s="868"/>
      <c r="AJ256" s="868"/>
      <c r="AU256" s="866"/>
      <c r="AV256" s="866"/>
      <c r="AW256" s="866"/>
      <c r="AX256" s="866"/>
      <c r="AY256" s="866"/>
      <c r="AZ256" s="866"/>
      <c r="BA256" s="866"/>
      <c r="BB256" s="866"/>
      <c r="BC256" s="866"/>
      <c r="BD256" s="866"/>
      <c r="BE256" s="866"/>
    </row>
    <row r="257" spans="1:57" ht="15" hidden="1" thickTop="1" thickBot="1" x14ac:dyDescent="0.3">
      <c r="A257" s="665"/>
      <c r="B257" s="665"/>
      <c r="C257" s="665"/>
      <c r="D257" s="665"/>
      <c r="E257" s="665"/>
      <c r="F257" s="665"/>
      <c r="G257" s="666"/>
      <c r="H257" s="666"/>
      <c r="I257" s="666"/>
      <c r="J257" s="666"/>
      <c r="K257" s="667"/>
      <c r="L257" s="666"/>
      <c r="M257" s="670">
        <v>0.69499999999999995</v>
      </c>
      <c r="N257" s="666"/>
      <c r="O257" s="23"/>
      <c r="P257" s="23"/>
      <c r="Q257" s="230"/>
      <c r="R257" s="642"/>
      <c r="S257" s="642"/>
      <c r="T257" s="230"/>
      <c r="U257" s="230"/>
      <c r="V257" s="230"/>
      <c r="W257" s="230"/>
      <c r="X257" s="866"/>
      <c r="Y257" s="866"/>
      <c r="Z257" s="230"/>
      <c r="AA257" s="230"/>
      <c r="AB257" s="230"/>
      <c r="AD257" s="230"/>
      <c r="AE257" s="265"/>
      <c r="AF257" s="265"/>
      <c r="AG257" s="230"/>
      <c r="AH257" s="230"/>
      <c r="AI257" s="265"/>
      <c r="AJ257" s="265"/>
    </row>
    <row r="258" spans="1:57" ht="20.25" customHeight="1" thickTop="1" thickBot="1" x14ac:dyDescent="0.3">
      <c r="A258" s="1236" t="s">
        <v>123</v>
      </c>
      <c r="B258" s="1236"/>
      <c r="C258" s="1236"/>
      <c r="D258" s="1236"/>
      <c r="E258" s="1236"/>
      <c r="F258" s="1236"/>
      <c r="G258" s="322"/>
      <c r="H258" s="322"/>
      <c r="I258" s="322"/>
      <c r="J258" s="322"/>
      <c r="K258" s="323"/>
      <c r="L258" s="322"/>
      <c r="M258" s="320"/>
      <c r="N258" s="449"/>
      <c r="O258" s="23"/>
      <c r="P258" s="23"/>
      <c r="Q258" s="230"/>
      <c r="R258" s="642"/>
      <c r="S258" s="642"/>
      <c r="T258" s="230"/>
      <c r="U258" s="230"/>
      <c r="V258" s="230"/>
      <c r="W258" s="230"/>
      <c r="X258" s="866"/>
      <c r="Y258" s="866"/>
      <c r="Z258" s="230"/>
      <c r="AA258" s="230"/>
      <c r="AB258" s="230"/>
      <c r="AD258" s="230"/>
      <c r="AE258" s="265"/>
      <c r="AF258" s="265"/>
      <c r="AG258" s="230"/>
      <c r="AH258" s="230"/>
      <c r="AI258" s="265"/>
      <c r="AJ258" s="265"/>
    </row>
    <row r="259" spans="1:57" ht="16.5" customHeight="1" thickTop="1" thickBot="1" x14ac:dyDescent="0.3">
      <c r="A259" s="443"/>
      <c r="B259" s="443"/>
      <c r="C259" s="443"/>
      <c r="D259" s="443"/>
      <c r="E259" s="443"/>
      <c r="F259" s="443"/>
      <c r="G259" s="443"/>
      <c r="H259" s="443"/>
      <c r="I259" s="443"/>
      <c r="J259" s="443"/>
      <c r="K259" s="445"/>
      <c r="L259" s="443"/>
      <c r="M259" s="443"/>
      <c r="N259" s="328"/>
      <c r="O259" s="23"/>
      <c r="P259" s="23"/>
      <c r="Q259" s="230"/>
      <c r="R259" s="642"/>
      <c r="S259" s="642"/>
      <c r="T259" s="230"/>
      <c r="U259" s="230"/>
      <c r="V259" s="230"/>
      <c r="W259" s="230"/>
      <c r="X259" s="866"/>
      <c r="Y259" s="866"/>
      <c r="Z259" s="230"/>
      <c r="AA259" s="230"/>
      <c r="AB259" s="230"/>
      <c r="AD259" s="230"/>
      <c r="AE259" s="265"/>
      <c r="AF259" s="265"/>
      <c r="AG259" s="230"/>
      <c r="AH259" s="230"/>
      <c r="AI259" s="265"/>
      <c r="AJ259" s="265"/>
    </row>
    <row r="260" spans="1:57" ht="16.5" customHeight="1" thickTop="1" thickBot="1" x14ac:dyDescent="0.3">
      <c r="A260" s="1093" t="s">
        <v>538</v>
      </c>
      <c r="B260" s="1093"/>
      <c r="C260" s="438"/>
      <c r="D260" s="438"/>
      <c r="E260" s="438"/>
      <c r="F260" s="438"/>
      <c r="G260" s="438"/>
      <c r="H260" s="438"/>
      <c r="I260" s="439"/>
      <c r="J260" s="439"/>
      <c r="K260" s="439"/>
      <c r="L260" s="321" t="s">
        <v>60</v>
      </c>
      <c r="M260" s="438"/>
      <c r="N260" s="1048" t="s">
        <v>149</v>
      </c>
      <c r="O260" s="187"/>
      <c r="P260" s="187"/>
      <c r="Q260" s="230"/>
      <c r="R260" s="642"/>
      <c r="S260" s="642"/>
      <c r="T260" s="230"/>
      <c r="U260" s="230"/>
      <c r="V260" s="230"/>
      <c r="W260" s="230"/>
      <c r="X260" s="866"/>
      <c r="Y260" s="866"/>
      <c r="Z260" s="230"/>
      <c r="AA260" s="230"/>
      <c r="AB260" s="230"/>
      <c r="AD260" s="230"/>
      <c r="AE260" s="265"/>
      <c r="AF260" s="265"/>
      <c r="AG260" s="230"/>
      <c r="AH260" s="230"/>
      <c r="AI260" s="265"/>
      <c r="AJ260" s="265"/>
    </row>
    <row r="261" spans="1:57" ht="16.5" customHeight="1" thickTop="1" x14ac:dyDescent="0.25">
      <c r="A261" s="1093" t="s">
        <v>588</v>
      </c>
      <c r="B261" s="1093"/>
      <c r="C261" s="438"/>
      <c r="D261" s="438"/>
      <c r="E261" s="438"/>
      <c r="F261" s="438"/>
      <c r="G261" s="438"/>
      <c r="H261" s="438"/>
      <c r="I261" s="438"/>
      <c r="J261" s="438"/>
      <c r="K261" s="439"/>
      <c r="L261" s="438"/>
      <c r="M261" s="438"/>
      <c r="N261" s="1049" t="s">
        <v>150</v>
      </c>
      <c r="O261" s="187"/>
      <c r="P261" s="187"/>
      <c r="Q261" s="230"/>
      <c r="R261" s="642"/>
      <c r="S261" s="642"/>
      <c r="T261" s="230"/>
      <c r="U261" s="230"/>
      <c r="V261" s="230"/>
      <c r="W261" s="230"/>
      <c r="X261" s="866"/>
      <c r="Y261" s="866"/>
      <c r="Z261" s="230"/>
      <c r="AA261" s="230"/>
      <c r="AB261" s="230"/>
      <c r="AD261" s="230"/>
      <c r="AE261" s="265"/>
      <c r="AF261" s="265"/>
      <c r="AG261" s="230"/>
      <c r="AH261" s="230"/>
      <c r="AI261" s="265"/>
      <c r="AJ261" s="265"/>
    </row>
    <row r="262" spans="1:57" ht="16.5" customHeight="1" x14ac:dyDescent="0.25">
      <c r="A262" s="1093" t="s">
        <v>129</v>
      </c>
      <c r="B262" s="1093"/>
      <c r="C262" s="438"/>
      <c r="D262" s="438"/>
      <c r="E262" s="438"/>
      <c r="F262" s="438"/>
      <c r="G262" s="438"/>
      <c r="H262" s="438"/>
      <c r="I262" s="438"/>
      <c r="J262" s="438"/>
      <c r="K262" s="439"/>
      <c r="L262" s="438"/>
      <c r="M262" s="438"/>
      <c r="N262" s="320"/>
      <c r="O262" s="23"/>
      <c r="P262" s="23"/>
      <c r="Q262" s="230"/>
      <c r="R262" s="642"/>
      <c r="S262" s="642"/>
      <c r="T262" s="230"/>
      <c r="U262" s="230"/>
      <c r="V262" s="230"/>
      <c r="W262" s="230"/>
      <c r="X262" s="866"/>
      <c r="Y262" s="866"/>
      <c r="Z262" s="230"/>
      <c r="AA262" s="230"/>
      <c r="AB262" s="230"/>
      <c r="AD262" s="230"/>
      <c r="AE262" s="265"/>
      <c r="AF262" s="265"/>
      <c r="AG262" s="230"/>
      <c r="AH262" s="230"/>
      <c r="AI262" s="265"/>
      <c r="AJ262" s="265"/>
    </row>
    <row r="263" spans="1:57" ht="16.5" customHeight="1" x14ac:dyDescent="0.25">
      <c r="A263" s="1093" t="s">
        <v>596</v>
      </c>
      <c r="B263" s="1093"/>
      <c r="C263" s="438"/>
      <c r="D263" s="438"/>
      <c r="E263" s="438"/>
      <c r="F263" s="438"/>
      <c r="G263" s="438"/>
      <c r="H263" s="438"/>
      <c r="I263" s="438"/>
      <c r="J263" s="438"/>
      <c r="K263" s="439"/>
      <c r="L263" s="438"/>
      <c r="M263" s="438"/>
      <c r="N263" s="320"/>
      <c r="O263" s="23"/>
      <c r="P263" s="23"/>
      <c r="Q263" s="230"/>
      <c r="R263" s="642"/>
      <c r="S263" s="642"/>
      <c r="T263" s="230"/>
      <c r="U263" s="230"/>
      <c r="V263" s="230"/>
      <c r="W263" s="230"/>
      <c r="X263" s="866"/>
      <c r="Y263" s="866"/>
      <c r="Z263" s="230"/>
      <c r="AA263" s="230"/>
      <c r="AB263" s="230"/>
      <c r="AD263" s="230"/>
      <c r="AE263" s="265"/>
      <c r="AF263" s="265"/>
      <c r="AG263" s="230"/>
      <c r="AH263" s="230"/>
      <c r="AI263" s="265"/>
      <c r="AJ263" s="265"/>
    </row>
    <row r="264" spans="1:57" ht="16.5" customHeight="1" x14ac:dyDescent="0.25">
      <c r="A264" s="1093" t="s">
        <v>605</v>
      </c>
      <c r="B264" s="1093"/>
      <c r="C264" s="438"/>
      <c r="D264" s="438"/>
      <c r="E264" s="438"/>
      <c r="F264" s="438"/>
      <c r="G264" s="438"/>
      <c r="H264" s="438"/>
      <c r="I264" s="438"/>
      <c r="J264" s="438"/>
      <c r="K264" s="439"/>
      <c r="L264" s="438"/>
      <c r="M264" s="438"/>
      <c r="N264" s="320"/>
      <c r="O264" s="23"/>
      <c r="P264" s="23"/>
      <c r="Q264" s="230"/>
      <c r="R264" s="642"/>
      <c r="S264" s="642"/>
      <c r="T264" s="230"/>
      <c r="U264" s="230"/>
      <c r="V264" s="230"/>
      <c r="W264" s="230"/>
      <c r="X264" s="866"/>
      <c r="Y264" s="866"/>
      <c r="Z264" s="230"/>
      <c r="AA264" s="230"/>
      <c r="AB264" s="230"/>
      <c r="AD264" s="230"/>
      <c r="AE264" s="265"/>
      <c r="AF264" s="265"/>
      <c r="AG264" s="230"/>
      <c r="AH264" s="230"/>
      <c r="AI264" s="265"/>
      <c r="AJ264" s="265"/>
    </row>
    <row r="265" spans="1:57" s="867" customFormat="1" ht="16.5" customHeight="1" x14ac:dyDescent="0.25">
      <c r="A265" s="436"/>
      <c r="B265" s="436"/>
      <c r="C265" s="436"/>
      <c r="D265" s="436"/>
      <c r="E265" s="436"/>
      <c r="F265" s="436"/>
      <c r="G265" s="436"/>
      <c r="H265" s="436"/>
      <c r="I265" s="436"/>
      <c r="J265" s="436"/>
      <c r="K265" s="437"/>
      <c r="L265" s="436"/>
      <c r="M265" s="436"/>
      <c r="N265" s="325"/>
      <c r="O265" s="23"/>
      <c r="P265" s="23"/>
      <c r="Q265" s="866"/>
      <c r="R265" s="642"/>
      <c r="S265" s="642"/>
      <c r="T265" s="866"/>
      <c r="U265" s="866"/>
      <c r="V265" s="866"/>
      <c r="W265" s="866"/>
      <c r="X265" s="866"/>
      <c r="Y265" s="866"/>
      <c r="Z265" s="866"/>
      <c r="AA265" s="866"/>
      <c r="AB265" s="866"/>
      <c r="AC265" s="866"/>
      <c r="AD265" s="866"/>
      <c r="AE265" s="868"/>
      <c r="AF265" s="868"/>
      <c r="AG265" s="866"/>
      <c r="AH265" s="866"/>
      <c r="AI265" s="868"/>
      <c r="AJ265" s="868"/>
      <c r="AU265" s="866"/>
      <c r="AV265" s="866"/>
      <c r="AW265" s="866"/>
      <c r="AX265" s="866"/>
      <c r="AY265" s="866"/>
      <c r="AZ265" s="866"/>
      <c r="BA265" s="866"/>
      <c r="BB265" s="866"/>
      <c r="BC265" s="866"/>
      <c r="BD265" s="866"/>
      <c r="BE265" s="866"/>
    </row>
    <row r="266" spans="1:57" x14ac:dyDescent="0.25">
      <c r="A266" s="469"/>
      <c r="B266" s="860"/>
      <c r="C266" s="469"/>
      <c r="D266" s="860"/>
      <c r="E266" s="860"/>
      <c r="F266" s="860"/>
      <c r="G266" s="470"/>
      <c r="H266" s="470"/>
      <c r="I266" s="470"/>
      <c r="J266" s="861"/>
      <c r="K266" s="470"/>
      <c r="L266" s="470"/>
      <c r="M266" s="470"/>
      <c r="N266" s="470"/>
      <c r="O266" s="57"/>
      <c r="P266" s="57"/>
      <c r="Q266" s="246"/>
      <c r="R266" s="305"/>
      <c r="S266" s="642"/>
      <c r="T266" s="230"/>
      <c r="U266" s="230"/>
      <c r="V266" s="230"/>
      <c r="W266" s="230"/>
      <c r="X266" s="866"/>
      <c r="Y266" s="866"/>
      <c r="Z266" s="230"/>
      <c r="AA266" s="230"/>
      <c r="AB266" s="230"/>
      <c r="AD266" s="230"/>
      <c r="AE266" s="265"/>
      <c r="AF266" s="265"/>
      <c r="AG266" s="230"/>
      <c r="AH266" s="230"/>
      <c r="AI266" s="265"/>
      <c r="AJ266" s="265"/>
    </row>
    <row r="267" spans="1:57" ht="14.4" x14ac:dyDescent="0.25">
      <c r="A267" s="897" t="s">
        <v>519</v>
      </c>
      <c r="B267" s="897"/>
      <c r="C267" s="471"/>
      <c r="D267" s="883"/>
      <c r="E267" s="883"/>
      <c r="F267" s="883"/>
      <c r="G267" s="472"/>
      <c r="H267" s="472"/>
      <c r="I267" s="472"/>
      <c r="J267" s="884"/>
      <c r="K267" s="472"/>
      <c r="L267" s="472"/>
      <c r="M267" s="472"/>
      <c r="N267" s="472"/>
      <c r="O267" s="57"/>
      <c r="P267" s="57"/>
      <c r="Q267" s="246"/>
      <c r="R267" s="305"/>
      <c r="S267" s="642"/>
      <c r="T267" s="230"/>
      <c r="U267" s="230"/>
      <c r="V267" s="230"/>
      <c r="W267" s="230"/>
      <c r="X267" s="866"/>
      <c r="Y267" s="866"/>
      <c r="Z267" s="230"/>
      <c r="AA267" s="230"/>
      <c r="AB267" s="230"/>
      <c r="AD267" s="230"/>
      <c r="AE267" s="265"/>
      <c r="AF267" s="265"/>
      <c r="AG267" s="230"/>
      <c r="AH267" s="230"/>
      <c r="AI267" s="265"/>
      <c r="AJ267" s="265"/>
    </row>
    <row r="268" spans="1:57" ht="14.4" thickBot="1" x14ac:dyDescent="0.3">
      <c r="A268" s="473"/>
      <c r="B268" s="857"/>
      <c r="C268" s="474"/>
      <c r="D268" s="858"/>
      <c r="E268" s="858"/>
      <c r="F268" s="858"/>
      <c r="G268" s="475"/>
      <c r="H268" s="475"/>
      <c r="I268" s="475"/>
      <c r="J268" s="859"/>
      <c r="K268" s="475"/>
      <c r="L268" s="475"/>
      <c r="M268" s="475"/>
      <c r="N268" s="475"/>
      <c r="O268" s="57"/>
      <c r="P268" s="57"/>
      <c r="Q268" s="246"/>
      <c r="R268" s="305"/>
      <c r="S268" s="642"/>
      <c r="T268" s="230"/>
      <c r="U268" s="230"/>
      <c r="V268" s="230"/>
      <c r="W268" s="230"/>
      <c r="X268" s="866"/>
      <c r="Y268" s="866"/>
      <c r="Z268" s="230"/>
      <c r="AA268" s="230"/>
      <c r="AB268" s="230"/>
      <c r="AD268" s="230"/>
      <c r="AE268" s="265"/>
      <c r="AF268" s="265"/>
      <c r="AG268" s="230"/>
      <c r="AH268" s="230"/>
      <c r="AI268" s="265"/>
      <c r="AJ268" s="265"/>
    </row>
    <row r="269" spans="1:57" x14ac:dyDescent="0.25">
      <c r="A269" s="453"/>
      <c r="B269" s="453"/>
      <c r="C269" s="328"/>
      <c r="D269" s="328"/>
      <c r="E269" s="328"/>
      <c r="F269" s="328"/>
      <c r="G269" s="328"/>
      <c r="H269" s="328"/>
      <c r="I269" s="328"/>
      <c r="J269" s="328"/>
      <c r="K269" s="328"/>
      <c r="L269" s="328"/>
      <c r="M269" s="328"/>
      <c r="N269" s="328"/>
      <c r="Q269" s="326"/>
      <c r="R269" s="640"/>
      <c r="S269" s="642"/>
      <c r="T269" s="230"/>
      <c r="U269" s="230"/>
      <c r="V269" s="230"/>
      <c r="W269" s="230"/>
      <c r="X269" s="866"/>
      <c r="Y269" s="866"/>
      <c r="Z269" s="230"/>
      <c r="AA269" s="230"/>
      <c r="AB269" s="230"/>
      <c r="AD269" s="230"/>
      <c r="AE269" s="265"/>
      <c r="AF269" s="265"/>
      <c r="AG269" s="230"/>
      <c r="AH269" s="230"/>
      <c r="AI269" s="265"/>
      <c r="AJ269" s="265"/>
    </row>
    <row r="270" spans="1:57" hidden="1" x14ac:dyDescent="0.25">
      <c r="A270" s="477"/>
      <c r="B270" s="477"/>
      <c r="C270" s="405"/>
      <c r="D270" s="405"/>
      <c r="E270" s="405"/>
      <c r="F270" s="405"/>
      <c r="G270" s="230"/>
      <c r="H270" s="230"/>
      <c r="I270" s="230"/>
      <c r="J270" s="866"/>
      <c r="K270" s="230"/>
      <c r="L270" s="230"/>
      <c r="M270" s="230"/>
      <c r="N270" s="230"/>
      <c r="Q270" s="326"/>
      <c r="R270" s="640"/>
      <c r="S270" s="642"/>
      <c r="T270" s="230"/>
      <c r="U270" s="230"/>
      <c r="V270" s="230"/>
      <c r="W270" s="230"/>
      <c r="X270" s="866"/>
      <c r="Y270" s="866"/>
      <c r="Z270" s="230"/>
      <c r="AA270" s="230"/>
      <c r="AB270" s="230"/>
      <c r="AD270" s="230"/>
      <c r="AE270" s="265"/>
      <c r="AF270" s="265"/>
      <c r="AG270" s="230"/>
      <c r="AH270" s="230"/>
      <c r="AI270" s="265"/>
      <c r="AJ270" s="265"/>
    </row>
    <row r="271" spans="1:57" hidden="1" x14ac:dyDescent="0.25">
      <c r="A271" s="539"/>
      <c r="B271" s="539"/>
      <c r="C271" s="539"/>
      <c r="D271" s="539"/>
      <c r="E271" s="539"/>
      <c r="F271" s="539"/>
      <c r="G271" s="561"/>
      <c r="H271" s="561"/>
      <c r="I271" s="561"/>
      <c r="J271" s="561"/>
      <c r="K271" s="561"/>
      <c r="L271" s="561"/>
      <c r="M271" s="561"/>
      <c r="N271" s="561"/>
      <c r="Q271" s="326"/>
      <c r="R271" s="640"/>
      <c r="S271" s="642"/>
      <c r="T271" s="230"/>
      <c r="U271" s="230"/>
      <c r="V271" s="230"/>
      <c r="W271" s="230"/>
      <c r="X271" s="866"/>
      <c r="Y271" s="866"/>
      <c r="Z271" s="230"/>
      <c r="AA271" s="230"/>
      <c r="AB271" s="230"/>
      <c r="AD271" s="230"/>
      <c r="AE271" s="265"/>
      <c r="AF271" s="265"/>
      <c r="AG271" s="230"/>
      <c r="AH271" s="230"/>
      <c r="AI271" s="265"/>
      <c r="AJ271" s="265"/>
    </row>
    <row r="272" spans="1:57" hidden="1" x14ac:dyDescent="0.25">
      <c r="A272" s="686"/>
      <c r="B272" s="1373"/>
      <c r="C272" s="687"/>
      <c r="D272" s="676"/>
      <c r="E272" s="676"/>
      <c r="F272" s="676"/>
      <c r="G272" s="561"/>
      <c r="H272" s="688" t="s">
        <v>64</v>
      </c>
      <c r="I272" s="561"/>
      <c r="J272" s="561"/>
      <c r="K272" s="561"/>
      <c r="L272" s="671"/>
      <c r="M272" s="561"/>
      <c r="N272" s="671"/>
      <c r="O272" s="201"/>
      <c r="P272" s="201"/>
      <c r="Q272" s="326"/>
      <c r="R272" s="640"/>
      <c r="S272" s="642"/>
      <c r="T272" s="230"/>
      <c r="U272" s="230"/>
      <c r="V272" s="230"/>
      <c r="W272" s="230"/>
      <c r="X272" s="866"/>
      <c r="Y272" s="866"/>
      <c r="Z272" s="230"/>
      <c r="AA272" s="230"/>
      <c r="AB272" s="230"/>
      <c r="AD272" s="230"/>
      <c r="AE272" s="265"/>
      <c r="AF272" s="265"/>
      <c r="AG272" s="230"/>
      <c r="AH272" s="230"/>
      <c r="AI272" s="265"/>
      <c r="AJ272" s="265"/>
    </row>
    <row r="273" spans="1:36" hidden="1" x14ac:dyDescent="0.25">
      <c r="A273" s="689"/>
      <c r="B273" s="676"/>
      <c r="C273" s="690"/>
      <c r="D273" s="676"/>
      <c r="E273" s="676"/>
      <c r="F273" s="676"/>
      <c r="G273" s="561"/>
      <c r="H273" s="691">
        <v>0</v>
      </c>
      <c r="I273" s="561"/>
      <c r="J273" s="561"/>
      <c r="K273" s="561"/>
      <c r="L273" s="561"/>
      <c r="M273" s="561"/>
      <c r="N273" s="561"/>
      <c r="Q273" s="326"/>
      <c r="R273" s="640"/>
      <c r="S273" s="642"/>
      <c r="T273" s="230"/>
      <c r="U273" s="230"/>
      <c r="V273" s="230"/>
      <c r="W273" s="230"/>
      <c r="X273" s="866"/>
      <c r="Y273" s="866"/>
      <c r="Z273" s="230"/>
      <c r="AA273" s="230"/>
      <c r="AB273" s="230"/>
      <c r="AD273" s="230"/>
      <c r="AE273" s="265"/>
      <c r="AF273" s="265"/>
      <c r="AG273" s="230"/>
      <c r="AH273" s="230"/>
      <c r="AI273" s="265"/>
      <c r="AJ273" s="265"/>
    </row>
    <row r="274" spans="1:36" hidden="1" x14ac:dyDescent="0.25">
      <c r="A274" s="692"/>
      <c r="B274" s="1336"/>
      <c r="C274" s="693"/>
      <c r="D274" s="676"/>
      <c r="E274" s="676"/>
      <c r="F274" s="676"/>
      <c r="G274" s="561"/>
      <c r="H274" s="694">
        <v>25000</v>
      </c>
      <c r="I274" s="561"/>
      <c r="J274" s="561"/>
      <c r="K274" s="561"/>
      <c r="L274" s="561"/>
      <c r="M274" s="561"/>
      <c r="N274" s="561"/>
      <c r="Q274" s="326"/>
      <c r="R274" s="640"/>
      <c r="S274" s="642"/>
      <c r="T274" s="230"/>
      <c r="U274" s="230"/>
      <c r="V274" s="230"/>
      <c r="W274" s="230"/>
      <c r="X274" s="866"/>
      <c r="Y274" s="866"/>
      <c r="Z274" s="230"/>
      <c r="AA274" s="230"/>
      <c r="AB274" s="230"/>
      <c r="AD274" s="230"/>
      <c r="AE274" s="265"/>
      <c r="AF274" s="265"/>
      <c r="AG274" s="230"/>
      <c r="AH274" s="230"/>
      <c r="AI274" s="265"/>
      <c r="AJ274" s="265"/>
    </row>
    <row r="275" spans="1:36" hidden="1" x14ac:dyDescent="0.25">
      <c r="A275" s="561"/>
      <c r="B275" s="561"/>
      <c r="C275" s="561"/>
      <c r="D275" s="561"/>
      <c r="E275" s="561"/>
      <c r="F275" s="561"/>
      <c r="G275" s="561"/>
      <c r="H275" s="694">
        <v>50000</v>
      </c>
      <c r="I275" s="539"/>
      <c r="J275" s="539"/>
      <c r="K275" s="561"/>
      <c r="L275" s="561"/>
      <c r="M275" s="561"/>
      <c r="N275" s="561"/>
      <c r="Q275" s="326"/>
      <c r="R275" s="640"/>
      <c r="S275" s="642"/>
      <c r="T275" s="230"/>
      <c r="U275" s="230"/>
      <c r="V275" s="230"/>
      <c r="W275" s="230"/>
      <c r="X275" s="866"/>
      <c r="Y275" s="866"/>
      <c r="Z275" s="230"/>
      <c r="AA275" s="230"/>
      <c r="AB275" s="230"/>
      <c r="AD275" s="230"/>
      <c r="AE275" s="265"/>
      <c r="AF275" s="265"/>
      <c r="AG275" s="230"/>
      <c r="AH275" s="230"/>
      <c r="AI275" s="265"/>
      <c r="AJ275" s="265"/>
    </row>
    <row r="276" spans="1:36" hidden="1" x14ac:dyDescent="0.25">
      <c r="A276" s="674" t="s">
        <v>63</v>
      </c>
      <c r="B276" s="674"/>
      <c r="C276" s="561"/>
      <c r="D276" s="561"/>
      <c r="E276" s="561"/>
      <c r="F276" s="561"/>
      <c r="G276" s="561"/>
      <c r="H276" s="694">
        <v>75000</v>
      </c>
      <c r="I276" s="539"/>
      <c r="J276" s="539"/>
      <c r="K276" s="561"/>
      <c r="L276" s="561"/>
      <c r="M276" s="561"/>
      <c r="N276" s="561"/>
      <c r="Q276" s="326"/>
      <c r="R276" s="640"/>
      <c r="S276" s="642"/>
      <c r="T276" s="230"/>
      <c r="U276" s="230"/>
      <c r="V276" s="230"/>
      <c r="W276" s="230"/>
      <c r="X276" s="866"/>
      <c r="Y276" s="866"/>
      <c r="Z276" s="230"/>
      <c r="AA276" s="230"/>
      <c r="AB276" s="230"/>
      <c r="AD276" s="230"/>
      <c r="AE276" s="265"/>
      <c r="AF276" s="265"/>
      <c r="AG276" s="230"/>
      <c r="AH276" s="230"/>
      <c r="AI276" s="265"/>
      <c r="AJ276" s="265"/>
    </row>
    <row r="277" spans="1:36" hidden="1" x14ac:dyDescent="0.25">
      <c r="A277" s="676" t="s">
        <v>59</v>
      </c>
      <c r="B277" s="676"/>
      <c r="C277" s="561"/>
      <c r="D277" s="561"/>
      <c r="E277" s="561"/>
      <c r="F277" s="561"/>
      <c r="G277" s="561"/>
      <c r="H277" s="694">
        <v>100000</v>
      </c>
      <c r="I277" s="539"/>
      <c r="J277" s="539"/>
      <c r="K277" s="561"/>
      <c r="L277" s="561"/>
      <c r="M277" s="561"/>
      <c r="N277" s="561"/>
      <c r="Q277" s="326"/>
      <c r="R277" s="640"/>
      <c r="S277" s="642"/>
      <c r="T277" s="230"/>
      <c r="U277" s="230"/>
      <c r="V277" s="230"/>
      <c r="W277" s="230"/>
      <c r="X277" s="866"/>
      <c r="Y277" s="866"/>
      <c r="Z277" s="230"/>
      <c r="AA277" s="230"/>
      <c r="AB277" s="230"/>
      <c r="AD277" s="230"/>
      <c r="AE277" s="265"/>
      <c r="AF277" s="265"/>
      <c r="AG277" s="230"/>
      <c r="AH277" s="230"/>
      <c r="AI277" s="265"/>
      <c r="AJ277" s="265"/>
    </row>
    <row r="278" spans="1:36" hidden="1" x14ac:dyDescent="0.25">
      <c r="A278" s="676" t="s">
        <v>60</v>
      </c>
      <c r="B278" s="676"/>
      <c r="C278" s="561"/>
      <c r="D278" s="561"/>
      <c r="E278" s="561"/>
      <c r="F278" s="561"/>
      <c r="G278" s="561"/>
      <c r="H278" s="694">
        <v>125000</v>
      </c>
      <c r="I278" s="539"/>
      <c r="J278" s="539"/>
      <c r="K278" s="561"/>
      <c r="L278" s="561"/>
      <c r="M278" s="561"/>
      <c r="N278" s="561"/>
      <c r="Q278" s="326"/>
      <c r="R278" s="640"/>
      <c r="S278" s="642"/>
      <c r="T278" s="230"/>
      <c r="U278" s="230"/>
      <c r="V278" s="230"/>
      <c r="W278" s="230"/>
      <c r="X278" s="866"/>
      <c r="Y278" s="866"/>
      <c r="Z278" s="230"/>
      <c r="AA278" s="230"/>
      <c r="AB278" s="230"/>
      <c r="AD278" s="230"/>
      <c r="AE278" s="265"/>
      <c r="AF278" s="265"/>
      <c r="AG278" s="230"/>
      <c r="AH278" s="230"/>
      <c r="AI278" s="265"/>
      <c r="AJ278" s="265"/>
    </row>
    <row r="279" spans="1:36" hidden="1" x14ac:dyDescent="0.25">
      <c r="A279" s="561"/>
      <c r="B279" s="561"/>
      <c r="C279" s="561"/>
      <c r="D279" s="561"/>
      <c r="E279" s="561"/>
      <c r="F279" s="561"/>
      <c r="G279" s="561"/>
      <c r="H279" s="694">
        <v>150000</v>
      </c>
      <c r="I279" s="539"/>
      <c r="J279" s="539"/>
      <c r="K279" s="561"/>
      <c r="L279" s="561"/>
      <c r="M279" s="561"/>
      <c r="N279" s="561"/>
      <c r="Q279" s="326"/>
      <c r="R279" s="640"/>
      <c r="S279" s="642"/>
      <c r="T279" s="230"/>
      <c r="U279" s="230"/>
      <c r="V279" s="230"/>
      <c r="W279" s="230"/>
      <c r="X279" s="866"/>
      <c r="Y279" s="866"/>
      <c r="Z279" s="230"/>
      <c r="AA279" s="230"/>
      <c r="AB279" s="230"/>
      <c r="AD279" s="230"/>
      <c r="AE279" s="265"/>
      <c r="AF279" s="265"/>
      <c r="AG279" s="230"/>
      <c r="AH279" s="230"/>
      <c r="AI279" s="265"/>
      <c r="AJ279" s="265"/>
    </row>
    <row r="280" spans="1:36" hidden="1" x14ac:dyDescent="0.25">
      <c r="A280" s="561"/>
      <c r="B280" s="561"/>
      <c r="C280" s="561"/>
      <c r="D280" s="561"/>
      <c r="E280" s="561"/>
      <c r="F280" s="561"/>
      <c r="G280" s="561"/>
      <c r="H280" s="694">
        <v>175000</v>
      </c>
      <c r="I280" s="539"/>
      <c r="J280" s="539"/>
      <c r="K280" s="561"/>
      <c r="L280" s="561"/>
      <c r="M280" s="561"/>
      <c r="N280" s="561"/>
      <c r="Q280" s="326"/>
      <c r="R280" s="640"/>
      <c r="S280" s="642"/>
      <c r="T280" s="230"/>
      <c r="U280" s="230"/>
      <c r="V280" s="230"/>
      <c r="W280" s="230"/>
      <c r="X280" s="866"/>
      <c r="Y280" s="866"/>
      <c r="Z280" s="230"/>
      <c r="AA280" s="230"/>
      <c r="AB280" s="230"/>
      <c r="AD280" s="230"/>
      <c r="AE280" s="265"/>
      <c r="AF280" s="265"/>
      <c r="AG280" s="230"/>
      <c r="AH280" s="230"/>
      <c r="AI280" s="265"/>
      <c r="AJ280" s="265"/>
    </row>
    <row r="281" spans="1:36" hidden="1" x14ac:dyDescent="0.25">
      <c r="A281" s="561"/>
      <c r="B281" s="561"/>
      <c r="C281" s="561"/>
      <c r="D281" s="561"/>
      <c r="E281" s="561"/>
      <c r="F281" s="561"/>
      <c r="G281" s="561"/>
      <c r="H281" s="694">
        <v>200000</v>
      </c>
      <c r="I281" s="539"/>
      <c r="J281" s="539"/>
      <c r="K281" s="561"/>
      <c r="L281" s="561"/>
      <c r="M281" s="561"/>
      <c r="N281" s="561"/>
      <c r="Q281" s="326"/>
      <c r="R281" s="640"/>
      <c r="S281" s="642"/>
      <c r="T281" s="230"/>
      <c r="U281" s="230"/>
      <c r="V281" s="230"/>
      <c r="W281" s="230"/>
      <c r="X281" s="866"/>
      <c r="Y281" s="866"/>
      <c r="Z281" s="230"/>
      <c r="AA281" s="230"/>
      <c r="AB281" s="230"/>
      <c r="AD281" s="230"/>
      <c r="AE281" s="265"/>
      <c r="AF281" s="265"/>
      <c r="AG281" s="230"/>
      <c r="AH281" s="230"/>
      <c r="AI281" s="265"/>
      <c r="AJ281" s="265"/>
    </row>
    <row r="282" spans="1:36" hidden="1" x14ac:dyDescent="0.25">
      <c r="A282" s="561"/>
      <c r="B282" s="561"/>
      <c r="C282" s="561"/>
      <c r="D282" s="561"/>
      <c r="E282" s="561"/>
      <c r="F282" s="561"/>
      <c r="G282" s="561"/>
      <c r="H282" s="694">
        <v>225000</v>
      </c>
      <c r="I282" s="539"/>
      <c r="J282" s="539"/>
      <c r="K282" s="561"/>
      <c r="L282" s="561"/>
      <c r="M282" s="561"/>
      <c r="N282" s="561"/>
      <c r="Q282" s="326"/>
      <c r="R282" s="640"/>
      <c r="S282" s="642"/>
      <c r="T282" s="230"/>
      <c r="U282" s="230"/>
      <c r="V282" s="230"/>
      <c r="W282" s="230"/>
      <c r="X282" s="866"/>
      <c r="Y282" s="866"/>
      <c r="Z282" s="230"/>
      <c r="AA282" s="230"/>
      <c r="AB282" s="230"/>
      <c r="AD282" s="230"/>
      <c r="AE282" s="265"/>
      <c r="AF282" s="265"/>
      <c r="AG282" s="230"/>
      <c r="AH282" s="230"/>
      <c r="AI282" s="265"/>
      <c r="AJ282" s="265"/>
    </row>
    <row r="283" spans="1:36" hidden="1" x14ac:dyDescent="0.25">
      <c r="A283" s="561"/>
      <c r="B283" s="561"/>
      <c r="C283" s="561"/>
      <c r="D283" s="561"/>
      <c r="E283" s="561"/>
      <c r="F283" s="561"/>
      <c r="G283" s="561"/>
      <c r="H283" s="694">
        <v>250000</v>
      </c>
      <c r="I283" s="539"/>
      <c r="J283" s="539"/>
      <c r="K283" s="561"/>
      <c r="L283" s="561"/>
      <c r="M283" s="561"/>
      <c r="N283" s="561"/>
      <c r="Q283" s="326"/>
      <c r="R283" s="640"/>
      <c r="S283" s="642"/>
      <c r="T283" s="230"/>
      <c r="U283" s="230"/>
      <c r="V283" s="230"/>
      <c r="W283" s="230"/>
      <c r="X283" s="866"/>
      <c r="Y283" s="866"/>
      <c r="Z283" s="230"/>
      <c r="AA283" s="230"/>
      <c r="AB283" s="230"/>
      <c r="AD283" s="230"/>
      <c r="AE283" s="265"/>
      <c r="AF283" s="265"/>
      <c r="AG283" s="230"/>
      <c r="AH283" s="230"/>
      <c r="AI283" s="265"/>
      <c r="AJ283" s="265"/>
    </row>
    <row r="284" spans="1:36" hidden="1" x14ac:dyDescent="0.25">
      <c r="A284" s="561"/>
      <c r="B284" s="561"/>
      <c r="C284" s="561"/>
      <c r="D284" s="561"/>
      <c r="E284" s="561"/>
      <c r="F284" s="561"/>
      <c r="G284" s="561"/>
      <c r="H284" s="539"/>
      <c r="I284" s="539"/>
      <c r="J284" s="539"/>
      <c r="K284" s="561"/>
      <c r="L284" s="561"/>
      <c r="M284" s="561"/>
      <c r="N284" s="561"/>
      <c r="Q284" s="326"/>
      <c r="R284" s="640"/>
      <c r="S284" s="642"/>
      <c r="T284" s="230"/>
      <c r="U284" s="230"/>
      <c r="V284" s="230"/>
      <c r="W284" s="230"/>
      <c r="X284" s="866"/>
      <c r="Y284" s="866"/>
      <c r="Z284" s="230"/>
      <c r="AA284" s="230"/>
      <c r="AB284" s="230"/>
      <c r="AD284" s="230"/>
      <c r="AE284" s="265"/>
      <c r="AF284" s="265"/>
      <c r="AG284" s="230"/>
      <c r="AH284" s="230"/>
      <c r="AI284" s="265"/>
      <c r="AJ284" s="265"/>
    </row>
    <row r="285" spans="1:36" ht="15" hidden="1" thickTop="1" thickBot="1" x14ac:dyDescent="0.3">
      <c r="A285" s="1490" t="str">
        <f>SetUp!A4:B4</f>
        <v>1.  Is the source of the funding federal?</v>
      </c>
      <c r="B285" s="1490"/>
      <c r="C285" s="1490"/>
      <c r="D285" s="1282"/>
      <c r="E285" s="1331"/>
      <c r="F285" s="1331"/>
      <c r="G285" s="695" t="str">
        <f>SetUp!C4</f>
        <v>Yes</v>
      </c>
      <c r="H285" s="561"/>
      <c r="I285" s="561"/>
      <c r="J285" s="561"/>
      <c r="K285" s="561"/>
      <c r="L285" s="561"/>
      <c r="M285" s="561"/>
      <c r="N285" s="561"/>
      <c r="Q285" s="230"/>
      <c r="R285" s="642"/>
      <c r="S285" s="642"/>
      <c r="T285" s="230"/>
      <c r="U285" s="230"/>
      <c r="V285" s="230"/>
      <c r="W285" s="230"/>
      <c r="X285" s="866"/>
      <c r="Y285" s="866"/>
      <c r="Z285" s="230"/>
      <c r="AA285" s="230"/>
      <c r="AB285" s="230"/>
      <c r="AD285" s="230"/>
      <c r="AE285" s="230"/>
      <c r="AF285" s="230"/>
      <c r="AG285" s="230"/>
      <c r="AH285" s="230"/>
      <c r="AI285" s="230"/>
      <c r="AJ285" s="230"/>
    </row>
    <row r="286" spans="1:36" hidden="1" x14ac:dyDescent="0.25">
      <c r="A286" s="539"/>
      <c r="B286" s="539"/>
      <c r="C286" s="539"/>
      <c r="D286" s="539"/>
      <c r="E286" s="539"/>
      <c r="F286" s="539"/>
      <c r="G286" s="561"/>
      <c r="H286" s="561"/>
      <c r="I286" s="561"/>
      <c r="J286" s="561"/>
      <c r="K286" s="561"/>
      <c r="L286" s="561"/>
      <c r="M286" s="561"/>
      <c r="N286" s="561"/>
      <c r="Q286" s="230"/>
      <c r="R286" s="642"/>
      <c r="S286" s="642"/>
      <c r="T286" s="230"/>
      <c r="U286" s="230"/>
      <c r="V286" s="230"/>
      <c r="W286" s="230"/>
      <c r="X286" s="866"/>
      <c r="Y286" s="866"/>
      <c r="Z286" s="230"/>
      <c r="AA286" s="230"/>
      <c r="AB286" s="230"/>
      <c r="AD286" s="230"/>
      <c r="AE286" s="230"/>
      <c r="AF286" s="230"/>
      <c r="AG286" s="230"/>
      <c r="AH286" s="230"/>
      <c r="AI286" s="230"/>
      <c r="AJ286" s="230"/>
    </row>
    <row r="287" spans="1:36" ht="15" hidden="1" thickTop="1" thickBot="1" x14ac:dyDescent="0.3">
      <c r="A287" s="539" t="str">
        <f>'Y1'!A104</f>
        <v>1.  Is this a NIH modular budget?</v>
      </c>
      <c r="B287" s="539"/>
      <c r="C287" s="539"/>
      <c r="D287" s="539"/>
      <c r="E287" s="539"/>
      <c r="F287" s="539"/>
      <c r="G287" s="696" t="str">
        <f>'Y1'!L104</f>
        <v>No</v>
      </c>
      <c r="H287" s="561"/>
      <c r="I287" s="561"/>
      <c r="J287" s="561"/>
      <c r="K287" s="561"/>
      <c r="L287" s="561"/>
      <c r="M287" s="561"/>
      <c r="N287" s="561"/>
      <c r="Q287" s="230"/>
      <c r="R287" s="642"/>
      <c r="S287" s="642"/>
      <c r="T287" s="230"/>
      <c r="U287" s="230"/>
      <c r="V287" s="230"/>
      <c r="W287" s="230"/>
      <c r="X287" s="866"/>
      <c r="Y287" s="866"/>
      <c r="Z287" s="230"/>
      <c r="AA287" s="230"/>
      <c r="AB287" s="230"/>
      <c r="AD287" s="230"/>
      <c r="AE287" s="230"/>
      <c r="AF287" s="230"/>
      <c r="AG287" s="230"/>
      <c r="AH287" s="230"/>
      <c r="AI287" s="230"/>
      <c r="AJ287" s="230"/>
    </row>
    <row r="288" spans="1:36" hidden="1" x14ac:dyDescent="0.25">
      <c r="A288" s="539" t="str">
        <f>'Y1'!A105</f>
        <v xml:space="preserve">       If Yes, please choose a module from the drop down menu in the "NIH Modular Amount" box. Also choosing Yes will allow the form to calculate F&amp;A on the modular amount.</v>
      </c>
      <c r="B288" s="539"/>
      <c r="C288" s="539"/>
      <c r="D288" s="539"/>
      <c r="E288" s="539"/>
      <c r="F288" s="539"/>
      <c r="G288" s="539"/>
      <c r="H288" s="539"/>
      <c r="I288" s="539"/>
      <c r="J288" s="539"/>
      <c r="K288" s="539"/>
      <c r="L288" s="539"/>
      <c r="M288" s="539"/>
      <c r="N288" s="539"/>
      <c r="Q288" s="230"/>
      <c r="R288" s="642"/>
      <c r="S288" s="642"/>
      <c r="T288" s="230"/>
      <c r="U288" s="230"/>
      <c r="V288" s="230"/>
      <c r="W288" s="230"/>
      <c r="X288" s="866"/>
      <c r="Y288" s="866"/>
      <c r="Z288" s="230"/>
      <c r="AA288" s="230"/>
      <c r="AB288" s="230"/>
      <c r="AD288" s="230"/>
      <c r="AE288" s="265"/>
      <c r="AF288" s="265"/>
      <c r="AG288" s="230"/>
      <c r="AH288" s="230"/>
      <c r="AI288" s="265"/>
      <c r="AJ288" s="265"/>
    </row>
    <row r="289" spans="1:36" ht="15" x14ac:dyDescent="0.25">
      <c r="A289" s="479"/>
      <c r="B289" s="479"/>
      <c r="C289" s="479"/>
      <c r="D289" s="479"/>
      <c r="E289" s="479"/>
      <c r="F289" s="479"/>
      <c r="G289" s="480"/>
      <c r="H289" s="480"/>
      <c r="I289" s="480"/>
      <c r="J289" s="480"/>
      <c r="K289" s="480"/>
      <c r="L289" s="230"/>
      <c r="M289" s="230"/>
      <c r="N289" s="230"/>
      <c r="Q289" s="230"/>
      <c r="R289" s="642"/>
      <c r="S289" s="642"/>
      <c r="T289" s="230"/>
      <c r="U289" s="230"/>
      <c r="V289" s="230"/>
      <c r="W289" s="230"/>
      <c r="X289" s="866"/>
      <c r="Y289" s="866"/>
      <c r="Z289" s="230"/>
      <c r="AA289" s="230"/>
      <c r="AB289" s="230"/>
      <c r="AD289" s="230"/>
      <c r="AE289" s="265"/>
      <c r="AF289" s="265"/>
      <c r="AG289" s="230"/>
      <c r="AH289" s="230"/>
      <c r="AI289" s="265"/>
      <c r="AJ289" s="265"/>
    </row>
    <row r="290" spans="1:36" x14ac:dyDescent="0.25">
      <c r="A290" s="403"/>
      <c r="B290" s="403"/>
      <c r="C290" s="481"/>
      <c r="D290" s="481"/>
      <c r="E290" s="481"/>
      <c r="F290" s="481"/>
      <c r="G290" s="480"/>
      <c r="H290" s="480"/>
      <c r="I290" s="482"/>
      <c r="J290" s="482"/>
      <c r="K290" s="480"/>
      <c r="L290" s="230"/>
      <c r="M290" s="230"/>
      <c r="N290" s="230"/>
      <c r="Q290" s="230"/>
      <c r="R290" s="642"/>
      <c r="S290" s="642"/>
      <c r="T290" s="230"/>
      <c r="U290" s="230"/>
      <c r="V290" s="230"/>
      <c r="W290" s="230"/>
      <c r="X290" s="866"/>
      <c r="Y290" s="866"/>
      <c r="Z290" s="230"/>
      <c r="AA290" s="230"/>
      <c r="AB290" s="230"/>
      <c r="AD290" s="230"/>
      <c r="AE290" s="265"/>
      <c r="AF290" s="265"/>
      <c r="AG290" s="230"/>
      <c r="AH290" s="230"/>
      <c r="AI290" s="265"/>
      <c r="AJ290" s="265"/>
    </row>
    <row r="291" spans="1:36" x14ac:dyDescent="0.25">
      <c r="A291" s="403"/>
      <c r="B291" s="403"/>
      <c r="C291" s="481"/>
      <c r="D291" s="481"/>
      <c r="E291" s="481"/>
      <c r="F291" s="481"/>
      <c r="G291" s="480"/>
      <c r="H291" s="480"/>
      <c r="I291" s="481"/>
      <c r="J291" s="481"/>
      <c r="K291" s="480"/>
      <c r="L291" s="230"/>
      <c r="M291" s="230"/>
      <c r="N291" s="230"/>
      <c r="Q291" s="230"/>
      <c r="R291" s="642"/>
      <c r="S291" s="642"/>
      <c r="T291" s="230"/>
      <c r="U291" s="230"/>
      <c r="V291" s="230"/>
      <c r="W291" s="230"/>
      <c r="X291" s="866"/>
      <c r="Y291" s="866"/>
      <c r="Z291" s="230"/>
      <c r="AA291" s="230"/>
      <c r="AB291" s="230"/>
      <c r="AD291" s="230"/>
      <c r="AE291" s="265"/>
      <c r="AF291" s="265"/>
      <c r="AG291" s="230"/>
      <c r="AH291" s="230"/>
      <c r="AI291" s="265"/>
      <c r="AJ291" s="265"/>
    </row>
    <row r="292" spans="1:36" x14ac:dyDescent="0.25">
      <c r="A292" s="403"/>
      <c r="B292" s="403"/>
      <c r="C292" s="481"/>
      <c r="D292" s="481"/>
      <c r="E292" s="481"/>
      <c r="F292" s="481"/>
      <c r="G292" s="480"/>
      <c r="H292" s="480"/>
      <c r="I292" s="482"/>
      <c r="J292" s="482"/>
      <c r="K292" s="480"/>
      <c r="L292" s="230"/>
      <c r="M292" s="230"/>
      <c r="N292" s="230"/>
      <c r="Q292" s="230"/>
      <c r="R292" s="642"/>
      <c r="S292" s="642"/>
      <c r="T292" s="230"/>
      <c r="U292" s="230"/>
      <c r="V292" s="230"/>
      <c r="W292" s="230"/>
      <c r="X292" s="866"/>
      <c r="Y292" s="866"/>
      <c r="Z292" s="230"/>
      <c r="AA292" s="230"/>
      <c r="AB292" s="230"/>
      <c r="AD292" s="230"/>
      <c r="AE292" s="265"/>
      <c r="AF292" s="265"/>
      <c r="AG292" s="230"/>
      <c r="AH292" s="230"/>
      <c r="AI292" s="265"/>
      <c r="AJ292" s="265"/>
    </row>
    <row r="293" spans="1:36" x14ac:dyDescent="0.25">
      <c r="A293" s="481"/>
      <c r="B293" s="481"/>
      <c r="C293" s="481"/>
      <c r="D293" s="481"/>
      <c r="E293" s="481"/>
      <c r="F293" s="481"/>
      <c r="G293" s="480"/>
      <c r="H293" s="480"/>
      <c r="I293" s="483"/>
      <c r="J293" s="483"/>
      <c r="K293" s="480"/>
      <c r="L293" s="230"/>
      <c r="M293" s="230"/>
      <c r="N293" s="230"/>
      <c r="Q293" s="230"/>
      <c r="R293" s="642"/>
      <c r="S293" s="642"/>
      <c r="T293" s="230"/>
      <c r="U293" s="230"/>
      <c r="V293" s="230"/>
      <c r="W293" s="230"/>
      <c r="X293" s="866"/>
      <c r="Y293" s="866"/>
      <c r="Z293" s="230"/>
      <c r="AA293" s="230"/>
      <c r="AB293" s="230"/>
      <c r="AD293" s="230"/>
      <c r="AE293" s="265"/>
      <c r="AF293" s="265"/>
      <c r="AG293" s="230"/>
      <c r="AH293" s="230"/>
      <c r="AI293" s="265"/>
      <c r="AJ293" s="265"/>
    </row>
    <row r="294" spans="1:36" x14ac:dyDescent="0.25">
      <c r="A294" s="403"/>
      <c r="B294" s="403"/>
      <c r="C294" s="481"/>
      <c r="D294" s="481"/>
      <c r="E294" s="481"/>
      <c r="F294" s="481"/>
      <c r="G294" s="480"/>
      <c r="H294" s="480"/>
      <c r="I294" s="480"/>
      <c r="J294" s="480"/>
      <c r="K294" s="480"/>
      <c r="L294" s="230"/>
      <c r="M294" s="230"/>
      <c r="N294" s="230"/>
      <c r="Q294" s="230"/>
      <c r="R294" s="642"/>
      <c r="S294" s="642"/>
      <c r="T294" s="230"/>
      <c r="U294" s="230"/>
      <c r="V294" s="230"/>
      <c r="W294" s="230"/>
      <c r="X294" s="866"/>
      <c r="Y294" s="866"/>
      <c r="Z294" s="230"/>
      <c r="AA294" s="230"/>
      <c r="AB294" s="230"/>
      <c r="AD294" s="230"/>
      <c r="AE294" s="265"/>
      <c r="AF294" s="265"/>
      <c r="AG294" s="230"/>
      <c r="AH294" s="230"/>
      <c r="AI294" s="265"/>
      <c r="AJ294" s="265"/>
    </row>
    <row r="295" spans="1:36" x14ac:dyDescent="0.25">
      <c r="A295" s="403"/>
      <c r="B295" s="403"/>
      <c r="C295" s="481"/>
      <c r="D295" s="481"/>
      <c r="E295" s="481"/>
      <c r="F295" s="481"/>
      <c r="G295" s="480"/>
      <c r="H295" s="480"/>
      <c r="I295" s="482"/>
      <c r="J295" s="482"/>
      <c r="K295" s="480"/>
      <c r="L295" s="230"/>
      <c r="M295" s="230"/>
      <c r="N295" s="230"/>
      <c r="Q295" s="230"/>
      <c r="R295" s="642"/>
      <c r="S295" s="642"/>
      <c r="T295" s="230"/>
      <c r="U295" s="230"/>
      <c r="V295" s="230"/>
      <c r="W295" s="230"/>
      <c r="X295" s="866"/>
      <c r="Y295" s="866"/>
      <c r="Z295" s="230"/>
      <c r="AA295" s="230"/>
      <c r="AB295" s="230"/>
      <c r="AD295" s="230"/>
      <c r="AE295" s="265"/>
      <c r="AF295" s="265"/>
      <c r="AG295" s="230"/>
      <c r="AH295" s="230"/>
      <c r="AI295" s="265"/>
      <c r="AJ295" s="265"/>
    </row>
    <row r="296" spans="1:36" x14ac:dyDescent="0.25">
      <c r="A296" s="403"/>
      <c r="B296" s="403"/>
      <c r="C296" s="481"/>
      <c r="D296" s="481"/>
      <c r="E296" s="481"/>
      <c r="F296" s="481"/>
      <c r="G296" s="480"/>
      <c r="H296" s="480"/>
      <c r="I296" s="481"/>
      <c r="J296" s="481"/>
      <c r="K296" s="480"/>
      <c r="L296" s="230"/>
      <c r="M296" s="230"/>
      <c r="N296" s="230"/>
      <c r="Q296" s="230"/>
      <c r="R296" s="642"/>
      <c r="S296" s="642"/>
      <c r="T296" s="230"/>
      <c r="U296" s="230"/>
      <c r="V296" s="230"/>
      <c r="W296" s="230"/>
      <c r="X296" s="866"/>
      <c r="Y296" s="866"/>
      <c r="Z296" s="230"/>
      <c r="AA296" s="230"/>
      <c r="AB296" s="230"/>
      <c r="AD296" s="230"/>
      <c r="AE296" s="265"/>
      <c r="AF296" s="265"/>
      <c r="AG296" s="230"/>
      <c r="AH296" s="230"/>
      <c r="AI296" s="265"/>
      <c r="AJ296" s="265"/>
    </row>
    <row r="297" spans="1:36" x14ac:dyDescent="0.25">
      <c r="A297" s="403"/>
      <c r="B297" s="403"/>
      <c r="C297" s="481"/>
      <c r="D297" s="481"/>
      <c r="E297" s="481"/>
      <c r="F297" s="481"/>
      <c r="G297" s="480"/>
      <c r="H297" s="480"/>
      <c r="I297" s="482"/>
      <c r="J297" s="482"/>
      <c r="K297" s="483"/>
      <c r="L297" s="230"/>
      <c r="M297" s="230"/>
      <c r="N297" s="230"/>
      <c r="Q297" s="230"/>
      <c r="R297" s="642"/>
      <c r="S297" s="642"/>
      <c r="T297" s="230"/>
      <c r="U297" s="230"/>
      <c r="V297" s="230"/>
      <c r="W297" s="230"/>
      <c r="X297" s="866"/>
      <c r="Y297" s="866"/>
      <c r="Z297" s="230"/>
      <c r="AA297" s="230"/>
      <c r="AB297" s="230"/>
      <c r="AD297" s="230"/>
      <c r="AE297" s="265"/>
      <c r="AF297" s="265"/>
      <c r="AG297" s="230"/>
      <c r="AH297" s="230"/>
      <c r="AI297" s="265"/>
      <c r="AJ297" s="265"/>
    </row>
    <row r="298" spans="1:36" x14ac:dyDescent="0.25">
      <c r="A298" s="481"/>
      <c r="B298" s="481"/>
      <c r="C298" s="481"/>
      <c r="D298" s="481"/>
      <c r="E298" s="481"/>
      <c r="F298" s="481"/>
      <c r="G298" s="480"/>
      <c r="H298" s="480"/>
      <c r="I298" s="483"/>
      <c r="J298" s="483"/>
      <c r="K298" s="480"/>
      <c r="L298" s="230"/>
      <c r="M298" s="230"/>
      <c r="N298" s="230"/>
      <c r="Q298" s="230"/>
      <c r="R298" s="642"/>
      <c r="S298" s="642"/>
      <c r="T298" s="230"/>
      <c r="U298" s="230"/>
      <c r="V298" s="230"/>
      <c r="W298" s="230"/>
      <c r="X298" s="866"/>
      <c r="Y298" s="866"/>
      <c r="Z298" s="230"/>
      <c r="AA298" s="230"/>
      <c r="AB298" s="230"/>
      <c r="AD298" s="230"/>
      <c r="AE298" s="265"/>
      <c r="AF298" s="265"/>
      <c r="AG298" s="230"/>
      <c r="AH298" s="230"/>
      <c r="AI298" s="265"/>
      <c r="AJ298" s="265"/>
    </row>
    <row r="299" spans="1:36" x14ac:dyDescent="0.25">
      <c r="A299" s="403"/>
      <c r="B299" s="403"/>
      <c r="C299" s="481"/>
      <c r="D299" s="481"/>
      <c r="E299" s="481"/>
      <c r="F299" s="481"/>
      <c r="G299" s="480"/>
      <c r="H299" s="480"/>
      <c r="I299" s="480"/>
      <c r="J299" s="480"/>
      <c r="K299" s="484"/>
      <c r="L299" s="230"/>
      <c r="M299" s="230"/>
      <c r="N299" s="230"/>
      <c r="Q299" s="230"/>
      <c r="R299" s="642"/>
      <c r="S299" s="642"/>
      <c r="T299" s="230"/>
      <c r="U299" s="230"/>
      <c r="V299" s="230"/>
      <c r="W299" s="230"/>
      <c r="X299" s="866"/>
      <c r="Y299" s="866"/>
      <c r="Z299" s="230"/>
      <c r="AA299" s="230"/>
      <c r="AB299" s="230"/>
      <c r="AD299" s="230"/>
      <c r="AE299" s="265"/>
      <c r="AF299" s="265"/>
      <c r="AG299" s="230"/>
      <c r="AH299" s="230"/>
      <c r="AI299" s="265"/>
      <c r="AJ299" s="265"/>
    </row>
    <row r="300" spans="1:36" x14ac:dyDescent="0.25">
      <c r="A300" s="485"/>
      <c r="B300" s="485"/>
      <c r="C300" s="485"/>
      <c r="D300" s="485"/>
      <c r="E300" s="485"/>
      <c r="F300" s="485"/>
      <c r="G300" s="480"/>
      <c r="H300" s="480"/>
      <c r="I300" s="480"/>
      <c r="J300" s="480"/>
      <c r="K300" s="480"/>
      <c r="L300" s="230"/>
      <c r="M300" s="230"/>
      <c r="N300" s="230"/>
      <c r="Q300" s="230"/>
      <c r="R300" s="642"/>
      <c r="S300" s="642"/>
      <c r="T300" s="230"/>
      <c r="U300" s="230"/>
      <c r="V300" s="230"/>
      <c r="W300" s="230"/>
      <c r="X300" s="866"/>
      <c r="Y300" s="866"/>
      <c r="Z300" s="230"/>
      <c r="AA300" s="230"/>
      <c r="AB300" s="230"/>
      <c r="AD300" s="230"/>
      <c r="AE300" s="265"/>
      <c r="AF300" s="265"/>
      <c r="AG300" s="230"/>
      <c r="AH300" s="230"/>
      <c r="AI300" s="265"/>
      <c r="AJ300" s="265"/>
    </row>
    <row r="301" spans="1:36" x14ac:dyDescent="0.25">
      <c r="A301" s="403"/>
      <c r="B301" s="403"/>
      <c r="C301" s="481"/>
      <c r="D301" s="481"/>
      <c r="E301" s="481"/>
      <c r="F301" s="481"/>
      <c r="G301" s="480"/>
      <c r="H301" s="480"/>
      <c r="I301" s="480"/>
      <c r="J301" s="480"/>
      <c r="K301" s="480"/>
      <c r="L301" s="230"/>
      <c r="M301" s="230"/>
      <c r="N301" s="230"/>
      <c r="Q301" s="230"/>
      <c r="R301" s="642"/>
      <c r="S301" s="642"/>
      <c r="T301" s="230"/>
      <c r="U301" s="230"/>
      <c r="V301" s="230"/>
      <c r="W301" s="230"/>
      <c r="X301" s="866"/>
      <c r="Y301" s="866"/>
      <c r="Z301" s="230"/>
      <c r="AA301" s="230"/>
      <c r="AB301" s="230"/>
      <c r="AD301" s="230"/>
      <c r="AE301" s="265"/>
      <c r="AF301" s="265"/>
      <c r="AG301" s="230"/>
      <c r="AH301" s="230"/>
      <c r="AI301" s="265"/>
      <c r="AJ301" s="265"/>
    </row>
    <row r="302" spans="1:36" x14ac:dyDescent="0.25">
      <c r="A302" s="481"/>
      <c r="B302" s="481"/>
      <c r="C302" s="481"/>
      <c r="D302" s="481"/>
      <c r="E302" s="481"/>
      <c r="F302" s="481"/>
      <c r="G302" s="480"/>
      <c r="H302" s="480"/>
      <c r="I302" s="480"/>
      <c r="J302" s="480"/>
      <c r="K302" s="484"/>
      <c r="L302" s="230"/>
      <c r="M302" s="230"/>
      <c r="N302" s="230"/>
      <c r="Q302" s="230"/>
      <c r="R302" s="642"/>
      <c r="S302" s="642"/>
      <c r="T302" s="230"/>
      <c r="U302" s="230"/>
      <c r="V302" s="230"/>
      <c r="W302" s="230"/>
      <c r="X302" s="866"/>
      <c r="Y302" s="866"/>
      <c r="Z302" s="230"/>
      <c r="AA302" s="230"/>
      <c r="AB302" s="230"/>
      <c r="AD302" s="230"/>
      <c r="AE302" s="265"/>
      <c r="AF302" s="265"/>
      <c r="AG302" s="230"/>
      <c r="AH302" s="230"/>
      <c r="AI302" s="265"/>
      <c r="AJ302" s="265"/>
    </row>
    <row r="303" spans="1:36" x14ac:dyDescent="0.25">
      <c r="A303" s="486"/>
      <c r="B303" s="486"/>
      <c r="C303" s="486"/>
      <c r="D303" s="486"/>
      <c r="E303" s="486"/>
      <c r="F303" s="486"/>
      <c r="G303" s="480"/>
      <c r="H303" s="480"/>
      <c r="I303" s="480"/>
      <c r="J303" s="480"/>
      <c r="K303" s="484"/>
      <c r="L303" s="230"/>
      <c r="M303" s="230"/>
      <c r="N303" s="230"/>
      <c r="Q303" s="230"/>
      <c r="R303" s="642"/>
      <c r="S303" s="642"/>
      <c r="T303" s="230"/>
      <c r="U303" s="230"/>
      <c r="V303" s="230"/>
      <c r="W303" s="230"/>
      <c r="X303" s="866"/>
      <c r="Y303" s="866"/>
      <c r="Z303" s="230"/>
      <c r="AA303" s="230"/>
      <c r="AB303" s="230"/>
      <c r="AD303" s="230"/>
      <c r="AE303" s="265"/>
      <c r="AF303" s="265"/>
      <c r="AG303" s="230"/>
      <c r="AH303" s="230"/>
      <c r="AI303" s="265"/>
      <c r="AJ303" s="265"/>
    </row>
    <row r="304" spans="1:36" x14ac:dyDescent="0.25">
      <c r="A304" s="405"/>
      <c r="B304" s="405"/>
      <c r="C304" s="405"/>
      <c r="D304" s="405"/>
      <c r="E304" s="405"/>
      <c r="F304" s="405"/>
      <c r="G304" s="230"/>
      <c r="H304" s="230"/>
      <c r="I304" s="230"/>
      <c r="J304" s="866"/>
      <c r="K304" s="230"/>
      <c r="L304" s="230"/>
      <c r="M304" s="230"/>
      <c r="N304" s="230"/>
      <c r="Q304" s="230"/>
      <c r="R304" s="642"/>
      <c r="S304" s="642"/>
      <c r="T304" s="230"/>
      <c r="U304" s="230"/>
      <c r="V304" s="230"/>
      <c r="W304" s="230"/>
      <c r="X304" s="866"/>
      <c r="Y304" s="866"/>
      <c r="Z304" s="230"/>
      <c r="AA304" s="230"/>
      <c r="AB304" s="230"/>
      <c r="AD304" s="230"/>
      <c r="AE304" s="265"/>
      <c r="AF304" s="265"/>
      <c r="AG304" s="230"/>
      <c r="AH304" s="230"/>
      <c r="AI304" s="265"/>
      <c r="AJ304" s="265"/>
    </row>
    <row r="305" spans="1:36" x14ac:dyDescent="0.25">
      <c r="A305" s="405"/>
      <c r="B305" s="405"/>
      <c r="C305" s="405"/>
      <c r="D305" s="405"/>
      <c r="E305" s="405"/>
      <c r="F305" s="405"/>
      <c r="G305" s="230"/>
      <c r="H305" s="230"/>
      <c r="I305" s="230"/>
      <c r="J305" s="866"/>
      <c r="K305" s="230"/>
      <c r="L305" s="230"/>
      <c r="M305" s="230"/>
      <c r="N305" s="230"/>
      <c r="Q305" s="230"/>
      <c r="R305" s="642"/>
      <c r="S305" s="642"/>
      <c r="T305" s="230"/>
      <c r="U305" s="230"/>
      <c r="V305" s="230"/>
      <c r="W305" s="230"/>
      <c r="X305" s="866"/>
      <c r="Y305" s="866"/>
      <c r="Z305" s="230"/>
      <c r="AA305" s="230"/>
      <c r="AB305" s="230"/>
      <c r="AD305" s="230"/>
      <c r="AE305" s="265"/>
      <c r="AF305" s="265"/>
      <c r="AG305" s="230"/>
      <c r="AH305" s="230"/>
      <c r="AI305" s="265"/>
      <c r="AJ305" s="265"/>
    </row>
    <row r="306" spans="1:36" x14ac:dyDescent="0.25">
      <c r="A306" s="405"/>
      <c r="B306" s="405"/>
      <c r="C306" s="405"/>
      <c r="D306" s="405"/>
      <c r="E306" s="405"/>
      <c r="F306" s="405"/>
      <c r="G306" s="230"/>
      <c r="H306" s="230"/>
      <c r="I306" s="230"/>
      <c r="J306" s="866"/>
      <c r="K306" s="230"/>
      <c r="L306" s="230"/>
      <c r="M306" s="230"/>
      <c r="N306" s="230"/>
      <c r="Q306" s="230"/>
      <c r="R306" s="642"/>
      <c r="S306" s="642"/>
      <c r="T306" s="230"/>
      <c r="U306" s="230"/>
      <c r="V306" s="230"/>
      <c r="W306" s="230"/>
      <c r="X306" s="866"/>
      <c r="Y306" s="866"/>
      <c r="Z306" s="230"/>
      <c r="AA306" s="230"/>
      <c r="AB306" s="230"/>
      <c r="AD306" s="230"/>
      <c r="AE306" s="265"/>
      <c r="AF306" s="265"/>
      <c r="AG306" s="230"/>
      <c r="AH306" s="230"/>
      <c r="AI306" s="265"/>
      <c r="AJ306" s="265"/>
    </row>
    <row r="307" spans="1:36" x14ac:dyDescent="0.25">
      <c r="A307" s="405"/>
      <c r="B307" s="405"/>
      <c r="C307" s="405"/>
      <c r="D307" s="405"/>
      <c r="E307" s="405"/>
      <c r="F307" s="405"/>
      <c r="G307" s="230"/>
      <c r="H307" s="230"/>
      <c r="I307" s="230"/>
      <c r="J307" s="866"/>
      <c r="K307" s="230"/>
      <c r="L307" s="230"/>
      <c r="M307" s="230"/>
      <c r="N307" s="230"/>
      <c r="Q307" s="230"/>
      <c r="R307" s="642"/>
      <c r="S307" s="642"/>
      <c r="T307" s="230"/>
      <c r="U307" s="230"/>
      <c r="V307" s="230"/>
      <c r="W307" s="230"/>
      <c r="X307" s="866"/>
      <c r="Y307" s="866"/>
      <c r="Z307" s="230"/>
      <c r="AA307" s="230"/>
      <c r="AB307" s="230"/>
      <c r="AD307" s="230"/>
      <c r="AE307" s="265"/>
      <c r="AF307" s="265"/>
      <c r="AG307" s="230"/>
      <c r="AH307" s="230"/>
      <c r="AI307" s="265"/>
      <c r="AJ307" s="265"/>
    </row>
    <row r="308" spans="1:36" x14ac:dyDescent="0.25">
      <c r="A308" s="405"/>
      <c r="B308" s="405"/>
      <c r="C308" s="405"/>
      <c r="D308" s="405"/>
      <c r="E308" s="405"/>
      <c r="F308" s="405"/>
      <c r="G308" s="230"/>
      <c r="H308" s="230"/>
      <c r="I308" s="230"/>
      <c r="J308" s="866"/>
      <c r="K308" s="230"/>
      <c r="L308" s="230"/>
      <c r="M308" s="230"/>
      <c r="N308" s="230"/>
      <c r="Q308" s="230"/>
      <c r="R308" s="642"/>
      <c r="S308" s="642"/>
      <c r="T308" s="230"/>
      <c r="U308" s="230"/>
      <c r="V308" s="230"/>
      <c r="W308" s="230"/>
      <c r="X308" s="866"/>
      <c r="Y308" s="866"/>
      <c r="Z308" s="230"/>
      <c r="AA308" s="230"/>
      <c r="AB308" s="230"/>
      <c r="AD308" s="230"/>
      <c r="AE308" s="265"/>
      <c r="AF308" s="265"/>
      <c r="AG308" s="230"/>
      <c r="AH308" s="230"/>
      <c r="AI308" s="265"/>
      <c r="AJ308" s="265"/>
    </row>
    <row r="309" spans="1:36" x14ac:dyDescent="0.25">
      <c r="A309" s="405"/>
      <c r="B309" s="405"/>
      <c r="C309" s="405"/>
      <c r="D309" s="405"/>
      <c r="E309" s="405"/>
      <c r="F309" s="405"/>
      <c r="G309" s="230"/>
      <c r="H309" s="230"/>
      <c r="I309" s="230"/>
      <c r="J309" s="866"/>
      <c r="K309" s="230"/>
      <c r="L309" s="230"/>
      <c r="M309" s="230"/>
      <c r="N309" s="230"/>
      <c r="Q309" s="230"/>
      <c r="R309" s="642"/>
      <c r="S309" s="642"/>
      <c r="T309" s="230"/>
      <c r="U309" s="230"/>
      <c r="V309" s="230"/>
      <c r="W309" s="230"/>
      <c r="X309" s="866"/>
      <c r="Y309" s="866"/>
      <c r="Z309" s="230"/>
      <c r="AA309" s="230"/>
      <c r="AB309" s="230"/>
      <c r="AD309" s="230"/>
      <c r="AE309" s="265"/>
      <c r="AF309" s="265"/>
      <c r="AG309" s="230"/>
      <c r="AH309" s="230"/>
      <c r="AI309" s="265"/>
      <c r="AJ309" s="265"/>
    </row>
    <row r="310" spans="1:36" x14ac:dyDescent="0.25">
      <c r="A310" s="405"/>
      <c r="B310" s="405"/>
      <c r="C310" s="405"/>
      <c r="D310" s="405"/>
      <c r="E310" s="405"/>
      <c r="F310" s="405"/>
      <c r="G310" s="230"/>
      <c r="H310" s="230"/>
      <c r="I310" s="230"/>
      <c r="J310" s="866"/>
      <c r="K310" s="230"/>
      <c r="L310" s="230"/>
      <c r="M310" s="230"/>
      <c r="N310" s="230"/>
      <c r="Q310" s="230"/>
      <c r="R310" s="642"/>
      <c r="S310" s="642"/>
      <c r="T310" s="230"/>
      <c r="U310" s="230"/>
      <c r="V310" s="230"/>
      <c r="W310" s="230"/>
      <c r="X310" s="866"/>
      <c r="Y310" s="866"/>
      <c r="Z310" s="230"/>
      <c r="AA310" s="230"/>
      <c r="AB310" s="230"/>
      <c r="AD310" s="230"/>
      <c r="AE310" s="265"/>
      <c r="AF310" s="265"/>
      <c r="AG310" s="230"/>
      <c r="AH310" s="230"/>
      <c r="AI310" s="265"/>
      <c r="AJ310" s="265"/>
    </row>
    <row r="311" spans="1:36" x14ac:dyDescent="0.25">
      <c r="A311" s="405"/>
      <c r="B311" s="405"/>
      <c r="C311" s="405"/>
      <c r="D311" s="405"/>
      <c r="E311" s="405"/>
      <c r="F311" s="405"/>
      <c r="G311" s="230"/>
      <c r="H311" s="230"/>
      <c r="I311" s="230"/>
      <c r="J311" s="866"/>
      <c r="K311" s="230"/>
      <c r="L311" s="230"/>
      <c r="M311" s="230"/>
      <c r="N311" s="230"/>
      <c r="Q311" s="230"/>
      <c r="R311" s="642"/>
      <c r="S311" s="642"/>
      <c r="T311" s="230"/>
      <c r="U311" s="230"/>
      <c r="V311" s="230"/>
      <c r="W311" s="230"/>
      <c r="X311" s="866"/>
      <c r="Y311" s="866"/>
      <c r="Z311" s="230"/>
      <c r="AA311" s="230"/>
      <c r="AB311" s="230"/>
      <c r="AD311" s="230"/>
      <c r="AE311" s="265"/>
      <c r="AF311" s="265"/>
      <c r="AG311" s="230"/>
      <c r="AH311" s="230"/>
      <c r="AI311" s="265"/>
      <c r="AJ311" s="265"/>
    </row>
    <row r="312" spans="1:36" x14ac:dyDescent="0.25">
      <c r="A312" s="405"/>
      <c r="B312" s="405"/>
      <c r="C312" s="405"/>
      <c r="D312" s="405"/>
      <c r="E312" s="405"/>
      <c r="F312" s="405"/>
      <c r="G312" s="230"/>
      <c r="H312" s="230"/>
      <c r="I312" s="230"/>
      <c r="J312" s="866"/>
      <c r="K312" s="230"/>
      <c r="L312" s="230"/>
      <c r="M312" s="230"/>
      <c r="N312" s="230"/>
      <c r="Q312" s="230"/>
      <c r="R312" s="642"/>
      <c r="S312" s="642"/>
      <c r="T312" s="230"/>
      <c r="U312" s="230"/>
      <c r="V312" s="230"/>
      <c r="W312" s="230"/>
      <c r="X312" s="866"/>
      <c r="Y312" s="866"/>
      <c r="Z312" s="230"/>
      <c r="AA312" s="230"/>
      <c r="AB312" s="230"/>
      <c r="AD312" s="230"/>
      <c r="AE312" s="265"/>
      <c r="AF312" s="265"/>
      <c r="AG312" s="230"/>
      <c r="AH312" s="230"/>
      <c r="AI312" s="265"/>
      <c r="AJ312" s="265"/>
    </row>
    <row r="313" spans="1:36" x14ac:dyDescent="0.25">
      <c r="A313" s="405"/>
      <c r="B313" s="405"/>
      <c r="C313" s="405"/>
      <c r="D313" s="405"/>
      <c r="E313" s="405"/>
      <c r="F313" s="405"/>
      <c r="G313" s="230"/>
      <c r="H313" s="230"/>
      <c r="I313" s="230"/>
      <c r="J313" s="866"/>
      <c r="K313" s="230"/>
      <c r="L313" s="230"/>
      <c r="M313" s="230"/>
      <c r="N313" s="230"/>
      <c r="Q313" s="230"/>
      <c r="R313" s="642"/>
      <c r="S313" s="642"/>
      <c r="T313" s="230"/>
      <c r="U313" s="230"/>
      <c r="V313" s="230"/>
      <c r="W313" s="230"/>
      <c r="X313" s="866"/>
      <c r="Y313" s="866"/>
      <c r="Z313" s="230"/>
      <c r="AA313" s="230"/>
      <c r="AB313" s="230"/>
      <c r="AD313" s="230"/>
      <c r="AE313" s="265"/>
      <c r="AF313" s="265"/>
      <c r="AG313" s="230"/>
      <c r="AH313" s="230"/>
      <c r="AI313" s="265"/>
      <c r="AJ313" s="265"/>
    </row>
    <row r="314" spans="1:36" x14ac:dyDescent="0.25">
      <c r="A314" s="405"/>
      <c r="B314" s="405"/>
      <c r="C314" s="405"/>
      <c r="D314" s="405"/>
      <c r="E314" s="405"/>
      <c r="F314" s="405"/>
      <c r="G314" s="230"/>
      <c r="H314" s="230"/>
      <c r="I314" s="230"/>
      <c r="J314" s="866"/>
      <c r="K314" s="230"/>
      <c r="L314" s="230"/>
      <c r="M314" s="230"/>
      <c r="N314" s="230"/>
      <c r="Q314" s="230"/>
      <c r="R314" s="642"/>
      <c r="S314" s="642"/>
      <c r="T314" s="230"/>
      <c r="U314" s="230"/>
      <c r="V314" s="230"/>
      <c r="W314" s="230"/>
      <c r="X314" s="866"/>
      <c r="Y314" s="866"/>
      <c r="Z314" s="230"/>
      <c r="AA314" s="230"/>
      <c r="AB314" s="230"/>
      <c r="AD314" s="230"/>
      <c r="AE314" s="265"/>
      <c r="AF314" s="265"/>
      <c r="AG314" s="230"/>
      <c r="AH314" s="230"/>
      <c r="AI314" s="265"/>
      <c r="AJ314" s="265"/>
    </row>
    <row r="315" spans="1:36" x14ac:dyDescent="0.25">
      <c r="A315" s="405"/>
      <c r="B315" s="405"/>
      <c r="C315" s="405"/>
      <c r="D315" s="405"/>
      <c r="E315" s="405"/>
      <c r="F315" s="405"/>
      <c r="G315" s="230"/>
      <c r="H315" s="230"/>
      <c r="I315" s="230"/>
      <c r="J315" s="866"/>
      <c r="K315" s="230"/>
      <c r="L315" s="230"/>
      <c r="M315" s="230"/>
      <c r="N315" s="230"/>
      <c r="Q315" s="230"/>
      <c r="R315" s="642"/>
      <c r="S315" s="642"/>
      <c r="T315" s="230"/>
      <c r="U315" s="230"/>
      <c r="V315" s="230"/>
      <c r="W315" s="230"/>
      <c r="X315" s="866"/>
      <c r="Y315" s="866"/>
      <c r="Z315" s="230"/>
      <c r="AA315" s="230"/>
      <c r="AB315" s="230"/>
      <c r="AD315" s="230"/>
      <c r="AE315" s="265"/>
      <c r="AF315" s="265"/>
      <c r="AG315" s="230"/>
      <c r="AH315" s="230"/>
      <c r="AI315" s="265"/>
      <c r="AJ315" s="265"/>
    </row>
    <row r="316" spans="1:36" x14ac:dyDescent="0.25">
      <c r="A316" s="405"/>
      <c r="B316" s="405"/>
      <c r="C316" s="405"/>
      <c r="D316" s="405"/>
      <c r="E316" s="405"/>
      <c r="F316" s="405"/>
      <c r="G316" s="230"/>
      <c r="H316" s="230"/>
      <c r="I316" s="230"/>
      <c r="J316" s="866"/>
      <c r="K316" s="230"/>
      <c r="L316" s="230"/>
      <c r="M316" s="230"/>
      <c r="N316" s="230"/>
      <c r="Q316" s="230"/>
      <c r="R316" s="642"/>
      <c r="S316" s="642"/>
      <c r="T316" s="230"/>
      <c r="U316" s="230"/>
      <c r="V316" s="230"/>
      <c r="W316" s="230"/>
      <c r="X316" s="866"/>
      <c r="Y316" s="866"/>
      <c r="Z316" s="230"/>
      <c r="AA316" s="230"/>
      <c r="AB316" s="230"/>
      <c r="AD316" s="230"/>
      <c r="AE316" s="265"/>
      <c r="AF316" s="265"/>
      <c r="AG316" s="230"/>
      <c r="AH316" s="230"/>
      <c r="AI316" s="265"/>
      <c r="AJ316" s="265"/>
    </row>
    <row r="317" spans="1:36" x14ac:dyDescent="0.25">
      <c r="A317" s="405"/>
      <c r="B317" s="405"/>
      <c r="C317" s="405"/>
      <c r="D317" s="405"/>
      <c r="E317" s="405"/>
      <c r="F317" s="405"/>
      <c r="G317" s="230"/>
      <c r="H317" s="230"/>
      <c r="I317" s="230"/>
      <c r="J317" s="866"/>
      <c r="K317" s="230"/>
      <c r="L317" s="230"/>
      <c r="M317" s="230"/>
      <c r="N317" s="230"/>
      <c r="Q317" s="230"/>
      <c r="R317" s="642"/>
      <c r="S317" s="642"/>
      <c r="T317" s="230"/>
      <c r="U317" s="230"/>
      <c r="V317" s="230"/>
      <c r="W317" s="230"/>
      <c r="X317" s="866"/>
      <c r="Y317" s="866"/>
      <c r="Z317" s="230"/>
      <c r="AA317" s="230"/>
      <c r="AB317" s="230"/>
      <c r="AD317" s="230"/>
      <c r="AE317" s="265"/>
      <c r="AF317" s="265"/>
      <c r="AG317" s="230"/>
      <c r="AH317" s="230"/>
      <c r="AI317" s="265"/>
      <c r="AJ317" s="265"/>
    </row>
    <row r="318" spans="1:36" x14ac:dyDescent="0.25">
      <c r="A318" s="405"/>
      <c r="B318" s="405"/>
      <c r="C318" s="405"/>
      <c r="D318" s="405"/>
      <c r="E318" s="405"/>
      <c r="F318" s="405"/>
      <c r="G318" s="230"/>
      <c r="H318" s="230"/>
      <c r="I318" s="230"/>
      <c r="J318" s="866"/>
      <c r="K318" s="230"/>
      <c r="L318" s="230"/>
      <c r="M318" s="230"/>
      <c r="N318" s="230"/>
      <c r="Q318" s="230"/>
      <c r="R318" s="642"/>
      <c r="S318" s="642"/>
      <c r="T318" s="230"/>
      <c r="U318" s="230"/>
      <c r="V318" s="230"/>
      <c r="W318" s="230"/>
      <c r="X318" s="866"/>
      <c r="Y318" s="866"/>
      <c r="Z318" s="230"/>
      <c r="AA318" s="230"/>
      <c r="AB318" s="230"/>
      <c r="AD318" s="230"/>
      <c r="AE318" s="265"/>
      <c r="AF318" s="265"/>
      <c r="AG318" s="230"/>
      <c r="AH318" s="230"/>
      <c r="AI318" s="265"/>
      <c r="AJ318" s="265"/>
    </row>
    <row r="319" spans="1:36" x14ac:dyDescent="0.25">
      <c r="A319" s="405"/>
      <c r="B319" s="405"/>
      <c r="C319" s="405"/>
      <c r="D319" s="405"/>
      <c r="E319" s="405"/>
      <c r="F319" s="405"/>
      <c r="G319" s="230"/>
      <c r="H319" s="230"/>
      <c r="I319" s="230"/>
      <c r="J319" s="866"/>
      <c r="K319" s="230"/>
      <c r="L319" s="230"/>
      <c r="M319" s="230"/>
      <c r="N319" s="230"/>
      <c r="Q319" s="230"/>
      <c r="R319" s="642"/>
      <c r="S319" s="642"/>
      <c r="T319" s="230"/>
      <c r="U319" s="230"/>
      <c r="V319" s="230"/>
      <c r="W319" s="230"/>
      <c r="X319" s="866"/>
      <c r="Y319" s="866"/>
      <c r="Z319" s="230"/>
      <c r="AA319" s="230"/>
      <c r="AB319" s="230"/>
      <c r="AD319" s="230"/>
      <c r="AE319" s="265"/>
      <c r="AF319" s="265"/>
      <c r="AG319" s="230"/>
      <c r="AH319" s="230"/>
      <c r="AI319" s="265"/>
      <c r="AJ319" s="265"/>
    </row>
    <row r="320" spans="1:36" x14ac:dyDescent="0.25">
      <c r="A320" s="405"/>
      <c r="B320" s="405"/>
      <c r="C320" s="405"/>
      <c r="D320" s="405"/>
      <c r="E320" s="405"/>
      <c r="F320" s="405"/>
      <c r="G320" s="230"/>
      <c r="H320" s="230"/>
      <c r="I320" s="230"/>
      <c r="J320" s="866"/>
      <c r="K320" s="230"/>
      <c r="L320" s="230"/>
      <c r="M320" s="230"/>
      <c r="N320" s="230"/>
      <c r="Q320" s="230"/>
      <c r="R320" s="642"/>
      <c r="S320" s="642"/>
      <c r="T320" s="230"/>
      <c r="U320" s="230"/>
      <c r="V320" s="230"/>
      <c r="W320" s="230"/>
      <c r="X320" s="866"/>
      <c r="Y320" s="866"/>
      <c r="Z320" s="230"/>
      <c r="AA320" s="230"/>
      <c r="AB320" s="230"/>
      <c r="AD320" s="230"/>
      <c r="AE320" s="265"/>
      <c r="AF320" s="265"/>
      <c r="AG320" s="230"/>
      <c r="AH320" s="230"/>
      <c r="AI320" s="265"/>
      <c r="AJ320" s="265"/>
    </row>
    <row r="321" spans="1:36" x14ac:dyDescent="0.25">
      <c r="A321" s="405"/>
      <c r="B321" s="405"/>
      <c r="C321" s="405"/>
      <c r="D321" s="405"/>
      <c r="E321" s="405"/>
      <c r="F321" s="405"/>
      <c r="G321" s="230"/>
      <c r="H321" s="230"/>
      <c r="I321" s="230"/>
      <c r="J321" s="866"/>
      <c r="K321" s="230"/>
      <c r="L321" s="230"/>
      <c r="M321" s="230"/>
      <c r="N321" s="230"/>
      <c r="Q321" s="230"/>
      <c r="R321" s="642"/>
      <c r="S321" s="642"/>
      <c r="T321" s="230"/>
      <c r="U321" s="230"/>
      <c r="V321" s="230"/>
      <c r="W321" s="230"/>
      <c r="X321" s="866"/>
      <c r="Y321" s="866"/>
      <c r="Z321" s="230"/>
      <c r="AA321" s="230"/>
      <c r="AB321" s="230"/>
      <c r="AD321" s="230"/>
      <c r="AE321" s="265"/>
      <c r="AF321" s="265"/>
      <c r="AG321" s="230"/>
      <c r="AH321" s="230"/>
      <c r="AI321" s="265"/>
      <c r="AJ321" s="265"/>
    </row>
    <row r="322" spans="1:36" x14ac:dyDescent="0.25">
      <c r="A322" s="405"/>
      <c r="B322" s="405"/>
      <c r="C322" s="405"/>
      <c r="D322" s="405"/>
      <c r="E322" s="405"/>
      <c r="F322" s="405"/>
      <c r="G322" s="230"/>
      <c r="H322" s="230"/>
      <c r="I322" s="230"/>
      <c r="J322" s="866"/>
      <c r="K322" s="230"/>
      <c r="L322" s="230"/>
      <c r="M322" s="230"/>
      <c r="N322" s="230"/>
      <c r="Q322" s="230"/>
      <c r="R322" s="642"/>
      <c r="S322" s="642"/>
      <c r="T322" s="230"/>
      <c r="U322" s="230"/>
      <c r="V322" s="230"/>
      <c r="W322" s="230"/>
      <c r="X322" s="866"/>
      <c r="Y322" s="866"/>
      <c r="Z322" s="230"/>
      <c r="AA322" s="230"/>
      <c r="AB322" s="230"/>
      <c r="AD322" s="230"/>
      <c r="AE322" s="265"/>
      <c r="AF322" s="265"/>
      <c r="AG322" s="230"/>
      <c r="AH322" s="230"/>
      <c r="AI322" s="265"/>
      <c r="AJ322" s="265"/>
    </row>
    <row r="323" spans="1:36" x14ac:dyDescent="0.25">
      <c r="A323" s="405"/>
      <c r="B323" s="405"/>
      <c r="C323" s="405"/>
      <c r="D323" s="405"/>
      <c r="E323" s="405"/>
      <c r="F323" s="405"/>
      <c r="G323" s="230"/>
      <c r="H323" s="230"/>
      <c r="I323" s="230"/>
      <c r="J323" s="866"/>
      <c r="K323" s="230"/>
      <c r="L323" s="230"/>
      <c r="M323" s="230"/>
      <c r="N323" s="230"/>
      <c r="Q323" s="230"/>
      <c r="R323" s="642"/>
      <c r="S323" s="642"/>
      <c r="T323" s="230"/>
      <c r="U323" s="230"/>
      <c r="V323" s="230"/>
      <c r="W323" s="230"/>
      <c r="X323" s="866"/>
      <c r="Y323" s="866"/>
      <c r="Z323" s="230"/>
      <c r="AA323" s="230"/>
      <c r="AB323" s="230"/>
      <c r="AD323" s="230"/>
      <c r="AE323" s="265"/>
      <c r="AF323" s="265"/>
      <c r="AG323" s="230"/>
      <c r="AH323" s="230"/>
      <c r="AI323" s="265"/>
      <c r="AJ323" s="265"/>
    </row>
    <row r="324" spans="1:36" x14ac:dyDescent="0.25">
      <c r="A324" s="405"/>
      <c r="B324" s="405"/>
      <c r="C324" s="405"/>
      <c r="D324" s="405"/>
      <c r="E324" s="405"/>
      <c r="F324" s="405"/>
      <c r="G324" s="230"/>
      <c r="H324" s="230"/>
      <c r="I324" s="230"/>
      <c r="J324" s="866"/>
      <c r="K324" s="230"/>
      <c r="L324" s="230"/>
      <c r="M324" s="230"/>
      <c r="N324" s="230"/>
      <c r="Q324" s="230"/>
      <c r="R324" s="642"/>
      <c r="S324" s="642"/>
      <c r="T324" s="230"/>
      <c r="U324" s="230"/>
      <c r="V324" s="230"/>
      <c r="W324" s="230"/>
      <c r="X324" s="866"/>
      <c r="Y324" s="866"/>
      <c r="Z324" s="230"/>
      <c r="AA324" s="230"/>
      <c r="AB324" s="230"/>
      <c r="AD324" s="230"/>
      <c r="AE324" s="265"/>
      <c r="AF324" s="265"/>
      <c r="AG324" s="230"/>
      <c r="AH324" s="230"/>
      <c r="AI324" s="265"/>
      <c r="AJ324" s="265"/>
    </row>
  </sheetData>
  <sheetProtection algorithmName="SHA-512" hashValue="QJYnNZtWE9zc06RwApHEPx/rpyJpvvkkzchsP1ibA8QIL3KPH9TZF8rKRBmZDCwckHP+/dh1tLJ6D1NnslheXw==" saltValue="8VCJmWtIQWUQhibneczDeQ==" spinCount="100000" sheet="1" formatCells="0" formatColumns="0"/>
  <mergeCells count="28">
    <mergeCell ref="Q13:Q16"/>
    <mergeCell ref="R12:R16"/>
    <mergeCell ref="U11:AB11"/>
    <mergeCell ref="X12:X16"/>
    <mergeCell ref="Y12:Y16"/>
    <mergeCell ref="Z12:Z16"/>
    <mergeCell ref="AA12:AA16"/>
    <mergeCell ref="U13:U16"/>
    <mergeCell ref="V13:V16"/>
    <mergeCell ref="W13:W16"/>
    <mergeCell ref="AD61:AE61"/>
    <mergeCell ref="AH61:AJ61"/>
    <mergeCell ref="AD52:AE52"/>
    <mergeCell ref="AH52:AJ52"/>
    <mergeCell ref="A285:C285"/>
    <mergeCell ref="A182:H182"/>
    <mergeCell ref="A181:H181"/>
    <mergeCell ref="I180:J180"/>
    <mergeCell ref="AD33:AF33"/>
    <mergeCell ref="AH33:AJ33"/>
    <mergeCell ref="AL33:AM33"/>
    <mergeCell ref="AO33:AP33"/>
    <mergeCell ref="AR33:AT33"/>
    <mergeCell ref="AH16:AJ16"/>
    <mergeCell ref="AL16:AM16"/>
    <mergeCell ref="AO16:AP16"/>
    <mergeCell ref="AR16:AT16"/>
    <mergeCell ref="AD12:AJ12"/>
  </mergeCells>
  <dataValidations count="18">
    <dataValidation type="list" allowBlank="1" showInputMessage="1" showErrorMessage="1" prompt="If you've already included the subaward on your Y1 budget and its Y1 value is equal to or greater than 25K, answer No." sqref="H132">
      <formula1>$A$277:$A$278</formula1>
    </dataValidation>
    <dataValidation type="list" allowBlank="1" showInputMessage="1" showErrorMessage="1" promptTitle="Still not sure?" prompt="PIs generally add new subawards in the Y1 budget tab and continue them in the future years. _x000a__x000a_If you're adding it for the 1st time in this budget year and its value is less than $25,000, answer Yes." sqref="H174">
      <formula1>$A$208:$A$209</formula1>
    </dataValidation>
    <dataValidation type="list" allowBlank="1" showInputMessage="1" showErrorMessage="1" sqref="K228 J108:K111 K265">
      <formula1>Subwardsq</formula1>
    </dataValidation>
    <dataValidation type="list" allowBlank="1" showInputMessage="1" showErrorMessage="1" sqref="H137">
      <formula1>$M$139:$M$164</formula1>
    </dataValidation>
    <dataValidation type="list" allowBlank="1" showInputMessage="1" showErrorMessage="1" sqref="H167 R18:R24 L260 H124 K233 L105 L196 L240 O203:P203 L187 U17:U24 L202 M203 L193">
      <formula1>$A$277:$A$278</formula1>
    </dataValidation>
    <dataValidation type="list" allowBlank="1" showInputMessage="1" showErrorMessage="1" promptTitle="Not Sure?" prompt="Assume Yes unless otherwise specified in the agency's instructions." sqref="L230">
      <formula1>$A$277:$A$278</formula1>
    </dataValidation>
    <dataValidation allowBlank="1" showInputMessage="1" showErrorMessage="1" promptTitle="Confused?" prompt="Do not confuse the FRINGE BENEFIT RATE with the F&amp;A Rate.  This question is about fringe benefits." sqref="M231"/>
    <dataValidation type="list" allowBlank="1" showInputMessage="1" showErrorMessage="1" sqref="L122">
      <formula1>$L$109:$L$121</formula1>
    </dataValidation>
    <dataValidation type="list" allowBlank="1" showInputMessage="1" showErrorMessage="1" promptTitle="K award?" prompt="Answer &quot;No&quot; if this is a K award.  _x000a__x000a_Answer &quot;Yes&quot; if there is a K awardee on your budget where the funding source is federal.  Example: NIH R01 grant with a K awardee as a co-investigator." sqref="R17">
      <formula1>$A$277:$A$278</formula1>
    </dataValidation>
    <dataValidation type="list" allowBlank="1" showInputMessage="1" showErrorMessage="1" sqref="N81:P81">
      <formula1>$H$273:$H$283</formula1>
    </dataValidation>
    <dataValidation type="list" allowBlank="1" showInputMessage="1" showErrorMessage="1" sqref="L85">
      <formula1>$M$206:$M$209</formula1>
    </dataValidation>
    <dataValidation type="list" allowBlank="1" showInputMessage="1" showErrorMessage="1" sqref="L89">
      <formula1>$M$211:$M$214</formula1>
    </dataValidation>
    <dataValidation type="whole" allowBlank="1" showInputMessage="1" showErrorMessage="1" sqref="K182 L181">
      <formula1>0</formula1>
      <formula2>25000</formula2>
    </dataValidation>
    <dataValidation type="whole" operator="lessThanOrEqual" allowBlank="1" showInputMessage="1" showErrorMessage="1" sqref="K181">
      <formula1>25000</formula1>
    </dataValidation>
    <dataValidation type="whole" allowBlank="1" showInputMessage="1" showErrorMessage="1" sqref="L182">
      <formula1>0</formula1>
      <formula2>24999</formula2>
    </dataValidation>
    <dataValidation type="list" allowBlank="1" showInputMessage="1" showErrorMessage="1" sqref="H96">
      <formula1>$M$242:$M$258</formula1>
    </dataValidation>
    <dataValidation allowBlank="1" showInputMessage="1" showErrorMessage="1" promptTitle="Percent Effort" prompt="For Full Time Positions - _x000a_If you prefer % effort for any of the personnel rows, you may use the Effort Converter Calculator on the seperate worksheet." sqref="H17"/>
    <dataValidation allowBlank="1" showInputMessage="1" showErrorMessage="1" promptTitle="Part-Time Faculty" prompt="If there are part-time faculty on any of the rows, you must annualize their base salary.  You may use the P-T Faculty worksheet to do so." sqref="G17"/>
  </dataValidations>
  <hyperlinks>
    <hyperlink ref="N124" r:id="rId1"/>
    <hyperlink ref="N260" r:id="rId2"/>
    <hyperlink ref="N261" r:id="rId3"/>
  </hyperlinks>
  <pageMargins left="0.25" right="0.25" top="0.25" bottom="0.25" header="0" footer="0"/>
  <pageSetup scale="61" orientation="portrait" horizontalDpi="1200" verticalDpi="1200" r:id="rId4"/>
  <headerFooter alignWithMargins="0"/>
  <drawing r:id="rId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02"/>
  <sheetViews>
    <sheetView zoomScale="110" zoomScaleNormal="110" zoomScalePageLayoutView="75" workbookViewId="0">
      <selection activeCell="B8" sqref="B8"/>
    </sheetView>
  </sheetViews>
  <sheetFormatPr defaultColWidth="8.88671875" defaultRowHeight="13.8" x14ac:dyDescent="0.25"/>
  <cols>
    <col min="1" max="1" width="26.33203125" style="405" customWidth="1"/>
    <col min="2" max="2" width="13.77734375" style="405" customWidth="1"/>
    <col min="3" max="3" width="16.5546875" style="405" customWidth="1"/>
    <col min="4" max="4" width="10.33203125" style="405" hidden="1" customWidth="1"/>
    <col min="5" max="5" width="3.109375" style="405" customWidth="1"/>
    <col min="6" max="6" width="14.88671875" style="230" hidden="1" customWidth="1"/>
    <col min="7" max="7" width="12" style="230" customWidth="1"/>
    <col min="8" max="9" width="10.44140625" style="866" customWidth="1"/>
    <col min="10" max="10" width="12" style="230" hidden="1" customWidth="1"/>
    <col min="11" max="11" width="16.33203125" style="230" customWidth="1"/>
    <col min="12" max="12" width="14.109375" style="230" customWidth="1"/>
    <col min="13" max="13" width="21.44140625" style="230" customWidth="1"/>
    <col min="14" max="14" width="17.33203125" style="230" customWidth="1"/>
    <col min="15" max="15" width="8.6640625" style="326" hidden="1" customWidth="1"/>
    <col min="16" max="16" width="10.109375" style="326" hidden="1" customWidth="1"/>
    <col min="17" max="17" width="8" style="230" customWidth="1"/>
    <col min="18" max="18" width="9.44140625" style="642" customWidth="1"/>
    <col min="19" max="19" width="11.6640625" style="642" hidden="1" customWidth="1"/>
    <col min="20" max="20" width="1.44140625" style="230" customWidth="1"/>
    <col min="21" max="21" width="7.6640625" style="230" customWidth="1"/>
    <col min="22" max="22" width="7.44140625" style="230" hidden="1" customWidth="1"/>
    <col min="23" max="23" width="9.44140625" style="230" hidden="1" customWidth="1"/>
    <col min="24" max="25" width="9.44140625" style="866" customWidth="1"/>
    <col min="26" max="26" width="8" style="230" hidden="1" customWidth="1"/>
    <col min="27" max="27" width="9.109375" style="230" hidden="1" customWidth="1"/>
    <col min="28" max="28" width="7.44140625" style="230" customWidth="1"/>
    <col min="29" max="29" width="2.88671875" style="230" customWidth="1"/>
    <col min="30" max="30" width="14.109375" style="230" hidden="1" customWidth="1"/>
    <col min="31" max="31" width="11.88671875" style="265" hidden="1" customWidth="1"/>
    <col min="32" max="32" width="10.88671875" style="265" hidden="1" customWidth="1"/>
    <col min="33" max="33" width="1.6640625" style="230" hidden="1" customWidth="1"/>
    <col min="34" max="34" width="13.109375" style="230" hidden="1" customWidth="1"/>
    <col min="35" max="35" width="12.44140625" style="265" hidden="1" customWidth="1"/>
    <col min="36" max="36" width="12.33203125" style="265" hidden="1" customWidth="1"/>
    <col min="37" max="37" width="1" style="230" customWidth="1"/>
    <col min="38" max="38" width="10.109375" style="230" hidden="1" customWidth="1"/>
    <col min="39" max="39" width="8.88671875" style="230" hidden="1" customWidth="1"/>
    <col min="40" max="40" width="1.44140625" style="230" hidden="1" customWidth="1"/>
    <col min="41" max="41" width="10" style="230" hidden="1" customWidth="1"/>
    <col min="42" max="42" width="9.88671875" style="230" hidden="1" customWidth="1"/>
    <col min="43" max="43" width="1" style="230" hidden="1" customWidth="1"/>
    <col min="44" max="44" width="11" style="230" hidden="1" customWidth="1"/>
    <col min="45" max="45" width="10.88671875" style="230" hidden="1" customWidth="1"/>
    <col min="46" max="46" width="11.88671875" style="230" hidden="1" customWidth="1"/>
    <col min="47" max="47" width="10.33203125" style="230" customWidth="1"/>
    <col min="48" max="48" width="8.88671875" style="230" customWidth="1"/>
    <col min="49" max="57" width="8.88671875" style="230"/>
    <col min="58" max="16384" width="8.88671875" style="1"/>
  </cols>
  <sheetData>
    <row r="1" spans="1:83" s="867" customFormat="1" x14ac:dyDescent="0.25">
      <c r="A1" s="863" t="s">
        <v>411</v>
      </c>
      <c r="B1" s="863"/>
      <c r="C1" s="864"/>
      <c r="D1" s="864"/>
      <c r="E1" s="864"/>
      <c r="F1" s="865"/>
      <c r="G1" s="865"/>
      <c r="H1" s="865"/>
      <c r="I1" s="865"/>
      <c r="J1" s="865"/>
      <c r="K1" s="865"/>
      <c r="L1" s="865"/>
      <c r="M1" s="865"/>
      <c r="N1" s="865"/>
      <c r="O1" s="866"/>
      <c r="P1" s="866"/>
      <c r="AC1" s="868"/>
      <c r="AD1" s="868"/>
      <c r="AE1" s="866"/>
      <c r="AF1" s="866"/>
      <c r="AG1" s="868"/>
      <c r="AH1" s="868"/>
      <c r="AP1" s="129" t="e">
        <f>#REF!*#REF!</f>
        <v>#REF!</v>
      </c>
      <c r="AQ1" s="129" t="e">
        <f>#REF!*#REF!</f>
        <v>#REF!</v>
      </c>
      <c r="AR1" s="129" t="e">
        <f>#REF!*#REF!</f>
        <v>#REF!</v>
      </c>
      <c r="AS1" s="866"/>
      <c r="AT1" s="866"/>
      <c r="AU1" s="866"/>
      <c r="AV1" s="866"/>
      <c r="AW1" s="866"/>
      <c r="AX1" s="866"/>
      <c r="AY1" s="866"/>
      <c r="AZ1" s="866"/>
      <c r="BA1" s="866"/>
      <c r="BB1" s="866"/>
      <c r="BC1" s="866"/>
      <c r="BD1" s="866"/>
      <c r="BE1" s="866"/>
      <c r="BF1" s="869"/>
      <c r="BG1" s="869"/>
      <c r="BH1" s="869"/>
      <c r="BI1" s="869"/>
      <c r="BJ1" s="869"/>
      <c r="BK1" s="869"/>
      <c r="BL1" s="869"/>
      <c r="BM1" s="869"/>
      <c r="BN1" s="869"/>
      <c r="BO1" s="869"/>
      <c r="BP1" s="869"/>
      <c r="BQ1" s="869"/>
      <c r="BR1" s="869"/>
      <c r="BS1" s="869"/>
      <c r="BT1" s="869"/>
      <c r="BU1" s="869"/>
      <c r="BV1" s="869"/>
      <c r="BW1" s="869"/>
      <c r="BX1" s="869"/>
      <c r="BY1" s="869"/>
      <c r="BZ1" s="869"/>
      <c r="CA1" s="869"/>
      <c r="CB1" s="869"/>
      <c r="CC1" s="869"/>
      <c r="CD1" s="869"/>
      <c r="CE1" s="869"/>
    </row>
    <row r="2" spans="1:83" s="867" customFormat="1" ht="14.4" x14ac:dyDescent="0.25">
      <c r="A2" s="885" t="s">
        <v>418</v>
      </c>
      <c r="B2" s="885"/>
      <c r="C2" s="871"/>
      <c r="D2" s="871"/>
      <c r="E2" s="871"/>
      <c r="F2" s="872"/>
      <c r="G2" s="872"/>
      <c r="H2" s="872"/>
      <c r="I2" s="872"/>
      <c r="J2" s="872"/>
      <c r="K2" s="872"/>
      <c r="L2" s="872"/>
      <c r="M2" s="872"/>
      <c r="N2" s="872"/>
      <c r="AC2" s="873"/>
      <c r="AD2" s="873"/>
      <c r="AG2" s="873"/>
      <c r="AH2" s="873"/>
      <c r="AS2" s="866"/>
      <c r="AT2" s="866"/>
      <c r="AU2" s="866"/>
      <c r="AV2" s="866"/>
      <c r="AW2" s="866"/>
      <c r="AX2" s="866"/>
      <c r="AY2" s="866"/>
      <c r="AZ2" s="866"/>
      <c r="BA2" s="866"/>
      <c r="BB2" s="866"/>
      <c r="BC2" s="866"/>
      <c r="BD2" s="866"/>
      <c r="BE2" s="866"/>
      <c r="BF2" s="869"/>
      <c r="BG2" s="869"/>
      <c r="BH2" s="869"/>
      <c r="BI2" s="869"/>
      <c r="BJ2" s="869"/>
      <c r="BK2" s="869"/>
      <c r="BL2" s="869"/>
      <c r="BM2" s="869"/>
      <c r="BN2" s="869"/>
      <c r="BO2" s="869"/>
      <c r="BP2" s="869"/>
      <c r="BQ2" s="869"/>
      <c r="BR2" s="869"/>
      <c r="BS2" s="869"/>
      <c r="BT2" s="869"/>
      <c r="BU2" s="869"/>
      <c r="BV2" s="869"/>
      <c r="BW2" s="869"/>
      <c r="BX2" s="869"/>
      <c r="BY2" s="869"/>
      <c r="BZ2" s="869"/>
      <c r="CA2" s="869"/>
      <c r="CB2" s="869"/>
      <c r="CC2" s="869"/>
      <c r="CD2" s="869"/>
      <c r="CE2" s="869"/>
    </row>
    <row r="3" spans="1:83" s="867" customFormat="1" ht="14.4" x14ac:dyDescent="0.25">
      <c r="A3" s="885" t="s">
        <v>546</v>
      </c>
      <c r="B3" s="885"/>
      <c r="C3" s="871"/>
      <c r="D3" s="871"/>
      <c r="E3" s="871"/>
      <c r="F3" s="872"/>
      <c r="G3" s="872"/>
      <c r="H3" s="872"/>
      <c r="I3" s="872"/>
      <c r="J3" s="872"/>
      <c r="K3" s="872"/>
      <c r="L3" s="872"/>
      <c r="M3" s="872"/>
      <c r="N3" s="872"/>
      <c r="AC3" s="873"/>
      <c r="AD3" s="873"/>
      <c r="AG3" s="873"/>
      <c r="AH3" s="873"/>
      <c r="AS3" s="866"/>
      <c r="AT3" s="866"/>
      <c r="AU3" s="866"/>
      <c r="AV3" s="866"/>
      <c r="AW3" s="866"/>
      <c r="AX3" s="866"/>
      <c r="AY3" s="866"/>
      <c r="AZ3" s="866"/>
      <c r="BA3" s="866"/>
      <c r="BB3" s="866"/>
      <c r="BC3" s="866"/>
      <c r="BD3" s="866"/>
      <c r="BE3" s="866"/>
      <c r="BF3" s="869"/>
      <c r="BG3" s="869"/>
      <c r="BH3" s="869"/>
      <c r="BI3" s="869"/>
      <c r="BJ3" s="869"/>
      <c r="BK3" s="869"/>
      <c r="BL3" s="869"/>
      <c r="BM3" s="869"/>
      <c r="BN3" s="869"/>
      <c r="BO3" s="869"/>
      <c r="BP3" s="869"/>
      <c r="BQ3" s="869"/>
      <c r="BR3" s="869"/>
      <c r="BS3" s="869"/>
      <c r="BT3" s="869"/>
      <c r="BU3" s="869"/>
      <c r="BV3" s="869"/>
      <c r="BW3" s="869"/>
      <c r="BX3" s="869"/>
      <c r="BY3" s="869"/>
      <c r="BZ3" s="869"/>
      <c r="CA3" s="869"/>
      <c r="CB3" s="869"/>
      <c r="CC3" s="869"/>
      <c r="CD3" s="869"/>
      <c r="CE3" s="869"/>
    </row>
    <row r="4" spans="1:83" s="867" customFormat="1" ht="14.4" x14ac:dyDescent="0.25">
      <c r="A4" s="885" t="s">
        <v>637</v>
      </c>
      <c r="B4" s="885"/>
      <c r="C4" s="871"/>
      <c r="D4" s="871"/>
      <c r="E4" s="871"/>
      <c r="F4" s="872"/>
      <c r="G4" s="872"/>
      <c r="H4" s="872"/>
      <c r="I4" s="872"/>
      <c r="J4" s="872"/>
      <c r="K4" s="872"/>
      <c r="L4" s="872"/>
      <c r="M4" s="872"/>
      <c r="N4" s="872"/>
      <c r="AC4" s="873"/>
      <c r="AD4" s="873"/>
      <c r="AG4" s="873"/>
      <c r="AH4" s="873"/>
      <c r="AS4" s="866"/>
      <c r="AT4" s="866"/>
      <c r="AU4" s="866"/>
      <c r="AV4" s="866"/>
      <c r="AW4" s="866"/>
      <c r="AX4" s="866"/>
      <c r="AY4" s="866"/>
      <c r="AZ4" s="866"/>
      <c r="BA4" s="866"/>
      <c r="BB4" s="866"/>
      <c r="BC4" s="866"/>
      <c r="BD4" s="866"/>
      <c r="BE4" s="866"/>
      <c r="BF4" s="869"/>
      <c r="BG4" s="869"/>
      <c r="BH4" s="869"/>
      <c r="BI4" s="869"/>
      <c r="BJ4" s="869"/>
      <c r="BK4" s="869"/>
      <c r="BL4" s="869"/>
      <c r="BM4" s="869"/>
      <c r="BN4" s="869"/>
      <c r="BO4" s="869"/>
      <c r="BP4" s="869"/>
      <c r="BQ4" s="869"/>
      <c r="BR4" s="869"/>
      <c r="BS4" s="869"/>
      <c r="BT4" s="869"/>
      <c r="BU4" s="869"/>
      <c r="BV4" s="869"/>
      <c r="BW4" s="869"/>
      <c r="BX4" s="869"/>
      <c r="BY4" s="869"/>
      <c r="BZ4" s="869"/>
      <c r="CA4" s="869"/>
      <c r="CB4" s="869"/>
      <c r="CC4" s="869"/>
      <c r="CD4" s="869"/>
      <c r="CE4" s="869"/>
    </row>
    <row r="5" spans="1:83" s="867" customFormat="1" ht="14.4" x14ac:dyDescent="0.25">
      <c r="A5" s="870" t="s">
        <v>638</v>
      </c>
      <c r="B5" s="870"/>
      <c r="C5" s="871"/>
      <c r="D5" s="871"/>
      <c r="E5" s="871"/>
      <c r="F5" s="872"/>
      <c r="G5" s="872"/>
      <c r="H5" s="872"/>
      <c r="I5" s="872"/>
      <c r="J5" s="872"/>
      <c r="K5" s="872"/>
      <c r="L5" s="872"/>
      <c r="M5" s="872"/>
      <c r="N5" s="872"/>
      <c r="AC5" s="873"/>
      <c r="AD5" s="873"/>
      <c r="AG5" s="873"/>
      <c r="AH5" s="873"/>
      <c r="AS5" s="866"/>
      <c r="AT5" s="866"/>
      <c r="AU5" s="866"/>
      <c r="AV5" s="866"/>
      <c r="AW5" s="866"/>
      <c r="AX5" s="866"/>
      <c r="AY5" s="866"/>
      <c r="AZ5" s="866"/>
      <c r="BA5" s="866"/>
      <c r="BB5" s="866"/>
      <c r="BC5" s="866"/>
      <c r="BD5" s="866"/>
      <c r="BE5" s="866"/>
      <c r="BF5" s="869"/>
      <c r="BG5" s="869"/>
      <c r="BH5" s="869"/>
      <c r="BI5" s="869"/>
      <c r="BJ5" s="869"/>
      <c r="BK5" s="869"/>
      <c r="BL5" s="869"/>
      <c r="BM5" s="869"/>
      <c r="BN5" s="869"/>
      <c r="BO5" s="869"/>
      <c r="BP5" s="869"/>
      <c r="BQ5" s="869"/>
      <c r="BR5" s="869"/>
      <c r="BS5" s="869"/>
      <c r="BT5" s="869"/>
      <c r="BU5" s="869"/>
      <c r="BV5" s="869"/>
      <c r="BW5" s="869"/>
      <c r="BX5" s="869"/>
      <c r="BY5" s="869"/>
      <c r="BZ5" s="869"/>
      <c r="CA5" s="869"/>
      <c r="CB5" s="869"/>
      <c r="CC5" s="869"/>
      <c r="CD5" s="869"/>
      <c r="CE5" s="869"/>
    </row>
    <row r="6" spans="1:83" ht="16.5" customHeight="1" x14ac:dyDescent="0.25">
      <c r="A6" s="307"/>
      <c r="B6" s="307"/>
      <c r="C6" s="283"/>
      <c r="D6" s="283"/>
      <c r="E6" s="283"/>
      <c r="F6" s="283"/>
      <c r="G6" s="283" t="s">
        <v>57</v>
      </c>
      <c r="H6" s="283"/>
      <c r="I6" s="283"/>
      <c r="J6" s="283"/>
      <c r="K6" s="283"/>
      <c r="L6" s="283"/>
      <c r="M6" s="283"/>
      <c r="N6" s="284"/>
      <c r="O6" s="700"/>
      <c r="P6" s="700"/>
    </row>
    <row r="7" spans="1:83" ht="6.75" customHeight="1" x14ac:dyDescent="0.25">
      <c r="A7" s="657"/>
      <c r="B7" s="657"/>
      <c r="C7" s="658"/>
      <c r="D7" s="658"/>
      <c r="E7" s="658"/>
      <c r="F7" s="244"/>
      <c r="G7" s="244"/>
      <c r="H7" s="244"/>
      <c r="I7" s="244"/>
      <c r="J7" s="244"/>
      <c r="K7" s="244"/>
      <c r="L7" s="244"/>
      <c r="M7" s="244"/>
      <c r="N7" s="245"/>
      <c r="O7" s="246"/>
      <c r="P7" s="246"/>
      <c r="Q7" s="866"/>
      <c r="T7" s="866"/>
      <c r="U7" s="866"/>
      <c r="V7" s="866"/>
      <c r="W7" s="866"/>
      <c r="Z7" s="866"/>
      <c r="AA7" s="866"/>
      <c r="AB7" s="866"/>
    </row>
    <row r="8" spans="1:83" ht="16.5" customHeight="1" x14ac:dyDescent="0.25">
      <c r="A8" s="1194" t="s">
        <v>569</v>
      </c>
      <c r="B8" s="219" t="str">
        <f>'Y1'!B8</f>
        <v>enter PI name in this cell on Y1 tab</v>
      </c>
      <c r="D8" s="219"/>
      <c r="E8" s="219"/>
      <c r="F8" s="280"/>
      <c r="G8" s="246"/>
      <c r="H8" s="246"/>
      <c r="I8" s="246"/>
      <c r="J8" s="246"/>
      <c r="K8" s="1267" t="s">
        <v>573</v>
      </c>
      <c r="L8" s="219" t="str">
        <f>'Y1'!M8</f>
        <v>enter GCO # in this cell on Y1 tab</v>
      </c>
      <c r="M8" s="246"/>
      <c r="N8" s="1054" t="s">
        <v>632</v>
      </c>
      <c r="O8" s="246"/>
      <c r="P8" s="246"/>
      <c r="Q8" s="866"/>
      <c r="T8" s="866"/>
      <c r="U8" s="866"/>
      <c r="V8" s="866"/>
      <c r="W8" s="866"/>
      <c r="Z8" s="866"/>
      <c r="AA8" s="866"/>
      <c r="AB8" s="866"/>
    </row>
    <row r="9" spans="1:83" ht="16.5" customHeight="1" x14ac:dyDescent="0.25">
      <c r="A9" s="1194" t="s">
        <v>570</v>
      </c>
      <c r="B9" s="219" t="str">
        <f>'Y1'!B9</f>
        <v>enter funding agency name in this cell on Y1 tab</v>
      </c>
      <c r="D9" s="219"/>
      <c r="E9" s="219"/>
      <c r="F9" s="280"/>
      <c r="G9" s="246"/>
      <c r="H9" s="246"/>
      <c r="I9" s="246"/>
      <c r="J9" s="246"/>
      <c r="K9" s="1267" t="s">
        <v>574</v>
      </c>
      <c r="L9" s="219" t="str">
        <f>'Y1'!M9</f>
        <v>enter fund # in this cell on Y1 tab</v>
      </c>
      <c r="M9" s="246"/>
      <c r="N9" s="285"/>
      <c r="O9" s="246"/>
      <c r="P9" s="246"/>
      <c r="Q9" s="866"/>
      <c r="T9" s="866"/>
      <c r="U9" s="866"/>
      <c r="V9" s="866"/>
      <c r="W9" s="866"/>
      <c r="Z9" s="866"/>
      <c r="AA9" s="866"/>
      <c r="AB9" s="866"/>
    </row>
    <row r="10" spans="1:83" s="170" customFormat="1" ht="16.5" customHeight="1" x14ac:dyDescent="0.25">
      <c r="A10" s="1194" t="s">
        <v>571</v>
      </c>
      <c r="B10" s="219" t="str">
        <f>'Y1'!B10</f>
        <v>enter project title in this cell on Y1 tab</v>
      </c>
      <c r="D10" s="219"/>
      <c r="E10" s="219"/>
      <c r="F10" s="280"/>
      <c r="G10" s="275"/>
      <c r="H10" s="275"/>
      <c r="I10" s="275"/>
      <c r="J10" s="275"/>
      <c r="K10" s="1267" t="s">
        <v>575</v>
      </c>
      <c r="L10" s="219" t="str">
        <f>'Y1'!M10</f>
        <v>enter agency # in this cell on Y1 tab</v>
      </c>
      <c r="M10" s="275"/>
      <c r="N10" s="286"/>
      <c r="O10" s="275"/>
      <c r="P10" s="275"/>
      <c r="Q10" s="1020"/>
      <c r="R10" s="617"/>
      <c r="S10" s="617"/>
      <c r="T10" s="1020"/>
      <c r="U10" s="1020"/>
      <c r="V10" s="1020"/>
      <c r="W10" s="1020"/>
      <c r="X10" s="1288"/>
      <c r="Y10" s="1288"/>
      <c r="Z10" s="1020"/>
      <c r="AA10" s="1020"/>
      <c r="AB10" s="1020"/>
      <c r="AC10" s="231"/>
      <c r="AD10" s="231"/>
      <c r="AE10" s="266"/>
      <c r="AF10" s="266"/>
      <c r="AG10" s="231"/>
      <c r="AH10" s="231"/>
      <c r="AI10" s="266"/>
      <c r="AJ10" s="266"/>
      <c r="AK10" s="231"/>
      <c r="AL10" s="231"/>
      <c r="AM10" s="231"/>
      <c r="AN10" s="231"/>
      <c r="AO10" s="231"/>
      <c r="AP10" s="231"/>
      <c r="AQ10" s="231"/>
      <c r="AR10" s="231"/>
      <c r="AS10" s="231"/>
      <c r="AT10" s="231"/>
      <c r="AU10" s="231"/>
      <c r="AV10" s="231"/>
      <c r="AW10" s="231"/>
      <c r="AX10" s="231"/>
      <c r="AY10" s="231"/>
      <c r="AZ10" s="231"/>
      <c r="BA10" s="231"/>
      <c r="BB10" s="231"/>
      <c r="BC10" s="231"/>
      <c r="BD10" s="231"/>
      <c r="BE10" s="231"/>
    </row>
    <row r="11" spans="1:83" s="170" customFormat="1" ht="16.5" customHeight="1" x14ac:dyDescent="0.25">
      <c r="A11" s="1267" t="s">
        <v>572</v>
      </c>
      <c r="B11" s="304" t="s">
        <v>295</v>
      </c>
      <c r="D11" s="1290"/>
      <c r="E11" s="1290"/>
      <c r="F11" s="280"/>
      <c r="G11" s="275"/>
      <c r="H11" s="275"/>
      <c r="I11" s="275"/>
      <c r="J11" s="275"/>
      <c r="K11" s="275"/>
      <c r="L11" s="275"/>
      <c r="M11" s="275"/>
      <c r="N11" s="286"/>
      <c r="O11" s="275"/>
      <c r="P11" s="275"/>
      <c r="Q11" s="1509"/>
      <c r="R11" s="1510"/>
      <c r="S11" s="1511"/>
      <c r="T11" s="1159"/>
      <c r="U11" s="1512" t="s">
        <v>147</v>
      </c>
      <c r="V11" s="1513"/>
      <c r="W11" s="1513"/>
      <c r="X11" s="1513"/>
      <c r="Y11" s="1513"/>
      <c r="Z11" s="1513"/>
      <c r="AA11" s="1513"/>
      <c r="AB11" s="1514"/>
      <c r="AC11" s="231"/>
      <c r="AD11" s="231"/>
      <c r="AE11" s="266"/>
      <c r="AF11" s="266"/>
      <c r="AG11" s="231"/>
      <c r="AH11" s="231"/>
      <c r="AI11" s="266"/>
      <c r="AJ11" s="266"/>
      <c r="AK11" s="231"/>
      <c r="AL11" s="231"/>
      <c r="AM11" s="231"/>
      <c r="AN11" s="231"/>
      <c r="AO11" s="231"/>
      <c r="AP11" s="231"/>
      <c r="AQ11" s="231"/>
      <c r="AR11" s="231"/>
      <c r="AS11" s="231"/>
      <c r="AT11" s="231"/>
      <c r="AU11" s="231"/>
      <c r="AV11" s="231"/>
      <c r="AW11" s="231"/>
      <c r="AX11" s="231"/>
      <c r="AY11" s="231"/>
      <c r="AZ11" s="231"/>
      <c r="BA11" s="231"/>
      <c r="BB11" s="231"/>
      <c r="BC11" s="231"/>
      <c r="BD11" s="231"/>
      <c r="BE11" s="231"/>
    </row>
    <row r="12" spans="1:83" s="170" customFormat="1" ht="16.5" customHeight="1" x14ac:dyDescent="0.3">
      <c r="A12" s="1194" t="s">
        <v>105</v>
      </c>
      <c r="B12" s="1194"/>
      <c r="C12" s="659" t="s">
        <v>3</v>
      </c>
      <c r="D12" s="659"/>
      <c r="E12" s="659"/>
      <c r="F12" s="282"/>
      <c r="G12" s="275"/>
      <c r="H12" s="275"/>
      <c r="I12" s="275"/>
      <c r="J12" s="275"/>
      <c r="K12" s="275"/>
      <c r="L12" s="1508" t="s">
        <v>44</v>
      </c>
      <c r="M12" s="1508"/>
      <c r="N12" s="1508"/>
      <c r="O12" s="275"/>
      <c r="P12" s="275"/>
      <c r="Q12" s="233"/>
      <c r="R12" s="1494" t="s">
        <v>195</v>
      </c>
      <c r="S12" s="1069"/>
      <c r="T12" s="1159"/>
      <c r="U12" s="235"/>
      <c r="V12" s="236"/>
      <c r="W12" s="237"/>
      <c r="X12" s="1461" t="s">
        <v>556</v>
      </c>
      <c r="Y12" s="1461" t="s">
        <v>557</v>
      </c>
      <c r="Z12" s="1499" t="s">
        <v>154</v>
      </c>
      <c r="AA12" s="1499" t="s">
        <v>155</v>
      </c>
      <c r="AB12" s="238"/>
      <c r="AC12" s="239"/>
      <c r="AD12" s="1479"/>
      <c r="AE12" s="1480"/>
      <c r="AF12" s="1480"/>
      <c r="AG12" s="1480"/>
      <c r="AH12" s="1480"/>
      <c r="AI12" s="1480"/>
      <c r="AJ12" s="1481"/>
      <c r="AK12" s="231"/>
      <c r="AL12" s="701" t="s">
        <v>157</v>
      </c>
      <c r="AM12" s="701" t="s">
        <v>158</v>
      </c>
      <c r="AN12" s="262"/>
      <c r="AO12" s="701" t="s">
        <v>157</v>
      </c>
      <c r="AP12" s="701" t="s">
        <v>158</v>
      </c>
      <c r="AQ12" s="230"/>
      <c r="AR12" s="701" t="s">
        <v>157</v>
      </c>
      <c r="AS12" s="701" t="s">
        <v>158</v>
      </c>
      <c r="AT12" s="231" t="s">
        <v>4</v>
      </c>
      <c r="AU12" s="231"/>
      <c r="AV12" s="231"/>
      <c r="AW12" s="231"/>
      <c r="AX12" s="231"/>
      <c r="AY12" s="231"/>
      <c r="AZ12" s="231"/>
      <c r="BA12" s="231"/>
      <c r="BB12" s="231"/>
      <c r="BC12" s="231"/>
      <c r="BD12" s="231"/>
      <c r="BE12" s="231"/>
    </row>
    <row r="13" spans="1:83" ht="16.5" customHeight="1" x14ac:dyDescent="0.25">
      <c r="A13" s="230"/>
      <c r="B13" s="866"/>
      <c r="C13" s="529"/>
      <c r="D13" s="529"/>
      <c r="E13" s="529"/>
      <c r="F13" s="262"/>
      <c r="G13" s="262"/>
      <c r="H13" s="262"/>
      <c r="I13" s="262"/>
      <c r="J13" s="262"/>
      <c r="K13" s="262"/>
      <c r="L13" s="1183" t="s">
        <v>22</v>
      </c>
      <c r="M13" s="1184"/>
      <c r="N13" s="1182">
        <v>0.30499999999999999</v>
      </c>
      <c r="O13" s="702"/>
      <c r="P13" s="702"/>
      <c r="Q13" s="1493" t="s">
        <v>590</v>
      </c>
      <c r="R13" s="1494"/>
      <c r="S13" s="1069"/>
      <c r="T13" s="1159"/>
      <c r="U13" s="1501" t="s">
        <v>148</v>
      </c>
      <c r="V13" s="1499" t="s">
        <v>151</v>
      </c>
      <c r="W13" s="1499" t="s">
        <v>152</v>
      </c>
      <c r="X13" s="1461"/>
      <c r="Y13" s="1461"/>
      <c r="Z13" s="1499"/>
      <c r="AA13" s="1499"/>
      <c r="AB13" s="238"/>
      <c r="AC13" s="239"/>
      <c r="AD13" s="271"/>
      <c r="AE13" s="272"/>
      <c r="AF13" s="272"/>
      <c r="AG13" s="262"/>
      <c r="AH13" s="262"/>
      <c r="AI13" s="272"/>
      <c r="AJ13" s="273"/>
    </row>
    <row r="14" spans="1:83" ht="16.5" customHeight="1" x14ac:dyDescent="0.25">
      <c r="A14" s="93" t="s">
        <v>28</v>
      </c>
      <c r="B14" s="93"/>
      <c r="C14" s="605"/>
      <c r="D14" s="605"/>
      <c r="E14" s="605"/>
      <c r="F14" s="329"/>
      <c r="G14" s="329"/>
      <c r="H14" s="329"/>
      <c r="I14" s="329"/>
      <c r="J14" s="329"/>
      <c r="K14" s="329"/>
      <c r="L14" s="1185" t="s">
        <v>21</v>
      </c>
      <c r="M14" s="1186"/>
      <c r="N14" s="1179">
        <v>0.315</v>
      </c>
      <c r="O14" s="702"/>
      <c r="P14" s="702"/>
      <c r="Q14" s="1493"/>
      <c r="R14" s="1494"/>
      <c r="S14" s="1070"/>
      <c r="T14" s="866"/>
      <c r="U14" s="1501"/>
      <c r="V14" s="1499"/>
      <c r="W14" s="1499"/>
      <c r="X14" s="1461"/>
      <c r="Y14" s="1461"/>
      <c r="Z14" s="1499"/>
      <c r="AA14" s="1499"/>
      <c r="AB14" s="238"/>
      <c r="AC14" s="239"/>
      <c r="AD14" s="274"/>
      <c r="AE14" s="272"/>
      <c r="AF14" s="275" t="s">
        <v>31</v>
      </c>
      <c r="AG14" s="262"/>
      <c r="AH14" s="275" t="s">
        <v>185</v>
      </c>
      <c r="AI14" s="272" t="s">
        <v>203</v>
      </c>
      <c r="AJ14" s="273" t="s">
        <v>204</v>
      </c>
      <c r="AL14" s="275" t="s">
        <v>31</v>
      </c>
    </row>
    <row r="15" spans="1:83" ht="16.5" customHeight="1" x14ac:dyDescent="0.25">
      <c r="A15" s="1187" t="s">
        <v>5</v>
      </c>
      <c r="B15" s="1187"/>
      <c r="C15" s="529"/>
      <c r="D15" s="529"/>
      <c r="E15" s="529"/>
      <c r="F15" s="1280"/>
      <c r="G15" s="331"/>
      <c r="H15" s="1280"/>
      <c r="I15" s="1280"/>
      <c r="K15" s="262"/>
      <c r="N15" s="286"/>
      <c r="O15" s="703"/>
      <c r="P15" s="703"/>
      <c r="Q15" s="1493"/>
      <c r="R15" s="1494"/>
      <c r="S15" s="1070"/>
      <c r="T15" s="866"/>
      <c r="U15" s="1501"/>
      <c r="V15" s="1499"/>
      <c r="W15" s="1499"/>
      <c r="X15" s="1461"/>
      <c r="Y15" s="1461"/>
      <c r="Z15" s="1499"/>
      <c r="AA15" s="1499"/>
      <c r="AB15" s="238"/>
      <c r="AC15" s="239"/>
      <c r="AD15" s="274"/>
      <c r="AE15" s="276"/>
      <c r="AF15" s="276"/>
      <c r="AG15" s="277" t="s">
        <v>36</v>
      </c>
      <c r="AH15" s="275" t="s">
        <v>186</v>
      </c>
      <c r="AI15" s="278" t="s">
        <v>136</v>
      </c>
      <c r="AJ15" s="279" t="s">
        <v>137</v>
      </c>
    </row>
    <row r="16" spans="1:83" s="1158" customFormat="1" ht="30" customHeight="1" thickBot="1" x14ac:dyDescent="0.3">
      <c r="A16" s="1207" t="s">
        <v>36</v>
      </c>
      <c r="B16" s="1207"/>
      <c r="C16" s="1208" t="s">
        <v>25</v>
      </c>
      <c r="D16" s="1217" t="s">
        <v>6</v>
      </c>
      <c r="E16" s="1217"/>
      <c r="F16" s="1218" t="s">
        <v>568</v>
      </c>
      <c r="G16" s="1218" t="s">
        <v>27</v>
      </c>
      <c r="H16" s="1218" t="s">
        <v>558</v>
      </c>
      <c r="I16" s="1218"/>
      <c r="J16" s="1409"/>
      <c r="K16" s="1218" t="s">
        <v>7</v>
      </c>
      <c r="L16" s="1218" t="s">
        <v>54</v>
      </c>
      <c r="M16" s="1218" t="s">
        <v>55</v>
      </c>
      <c r="N16" s="1410" t="s">
        <v>8</v>
      </c>
      <c r="O16" s="1192"/>
      <c r="P16" s="1192"/>
      <c r="Q16" s="1493"/>
      <c r="R16" s="1495"/>
      <c r="S16" s="1071" t="s">
        <v>131</v>
      </c>
      <c r="T16" s="866"/>
      <c r="U16" s="1502"/>
      <c r="V16" s="1500"/>
      <c r="W16" s="1500"/>
      <c r="X16" s="1462"/>
      <c r="Y16" s="1462"/>
      <c r="Z16" s="1500"/>
      <c r="AA16" s="1500"/>
      <c r="AB16" s="242"/>
      <c r="AC16" s="275"/>
      <c r="AD16" s="488"/>
      <c r="AE16" s="489"/>
      <c r="AF16" s="490"/>
      <c r="AG16" s="1190"/>
      <c r="AH16" s="1465" t="s">
        <v>160</v>
      </c>
      <c r="AI16" s="1465"/>
      <c r="AJ16" s="1466"/>
      <c r="AK16" s="1159"/>
      <c r="AL16" s="1464" t="s">
        <v>159</v>
      </c>
      <c r="AM16" s="1464"/>
      <c r="AN16" s="1159"/>
      <c r="AO16" s="1466" t="s">
        <v>160</v>
      </c>
      <c r="AP16" s="1466"/>
      <c r="AQ16" s="1159"/>
      <c r="AR16" s="1507" t="s">
        <v>161</v>
      </c>
      <c r="AS16" s="1507"/>
      <c r="AT16" s="1507"/>
      <c r="AU16" s="1159"/>
      <c r="AV16" s="1159"/>
      <c r="AW16" s="1159"/>
      <c r="AX16" s="1159"/>
      <c r="AY16" s="1159"/>
      <c r="AZ16" s="1159"/>
      <c r="BA16" s="1159"/>
      <c r="BB16" s="1159"/>
      <c r="BC16" s="1159"/>
      <c r="BD16" s="1159"/>
      <c r="BE16" s="1159"/>
    </row>
    <row r="17" spans="1:46" ht="16.5" customHeight="1" thickTop="1" thickBot="1" x14ac:dyDescent="0.3">
      <c r="A17" s="602"/>
      <c r="B17" s="1370"/>
      <c r="C17" s="226"/>
      <c r="D17" s="228">
        <f t="shared" ref="D17:D24" si="0">H17/12</f>
        <v>0</v>
      </c>
      <c r="E17" s="1374"/>
      <c r="F17" s="223" t="str">
        <f t="shared" ref="F17:F24" si="1">IF(Q17=12, "n/a ", IF(AND(Q17&lt;12, R17="Yes"), "n/a", D17*S17))</f>
        <v xml:space="preserve">n/a </v>
      </c>
      <c r="G17" s="227"/>
      <c r="H17" s="1436"/>
      <c r="I17" s="1378"/>
      <c r="J17" s="1291"/>
      <c r="K17" s="398">
        <f>IF(AND(L105="Yes",G17&gt;L122),L122*D17*S17,IF(AND(Q17=12,U17="Yes"),G17*Z17,IF(AND(Q17&lt;12,U17="Yes"),G17*S17*Z17,G17*D17*S17)))</f>
        <v>0</v>
      </c>
      <c r="L17" s="223">
        <f t="shared" ref="L17:L24" si="2">IF(AND($F$284="No",$L$229="No"),$M$230,IF(AND($F$284="No",$L$229="Yes"),$N$14,$N$13))</f>
        <v>0.30499999999999999</v>
      </c>
      <c r="M17" s="398">
        <f t="shared" ref="M17:M24" si="3">K17*L17</f>
        <v>0</v>
      </c>
      <c r="N17" s="513">
        <f t="shared" ref="N17:N24" si="4">K17+M17</f>
        <v>0</v>
      </c>
      <c r="O17" s="261"/>
      <c r="P17" s="261"/>
      <c r="Q17" s="836">
        <v>12</v>
      </c>
      <c r="R17" s="1072" t="s">
        <v>60</v>
      </c>
      <c r="S17" s="1073">
        <f t="shared" ref="S17:S24" si="5">Q17/12</f>
        <v>1</v>
      </c>
      <c r="T17" s="866"/>
      <c r="U17" s="877" t="s">
        <v>60</v>
      </c>
      <c r="V17" s="248" t="str">
        <f t="shared" ref="V17:V24" si="6">IF(U17="No", " ", Z17/D17)</f>
        <v xml:space="preserve"> </v>
      </c>
      <c r="W17" s="249" t="str">
        <f>IF(U17="No", " ", 1-V17)</f>
        <v xml:space="preserve"> </v>
      </c>
      <c r="X17" s="1297"/>
      <c r="Y17" s="1307" t="str">
        <f>IF(AA17 = " ", " ", AA17*12)</f>
        <v xml:space="preserve"> </v>
      </c>
      <c r="Z17" s="1308">
        <f>X17/12</f>
        <v>0</v>
      </c>
      <c r="AA17" s="254" t="str">
        <f t="shared" ref="AA17:AA24" si="7">IF(AND(Q17=12,U17="Yes"),D17-Z17,IF(AND(Q17&lt;12,U17="Yes"),F17-Z17," "))</f>
        <v xml:space="preserve"> </v>
      </c>
      <c r="AB17" s="1026" t="str">
        <f t="shared" ref="AB17:AB24" si="8">IF(AND(Q17=12,U17="Yes",Z17&gt;D17),"ERROR",IF(AND(Q17&lt;12,U17="Yes",Z17&gt;F17),"ERROR"," "))</f>
        <v xml:space="preserve"> </v>
      </c>
      <c r="AC17" s="697"/>
      <c r="AD17" s="258"/>
      <c r="AE17" s="259"/>
      <c r="AF17" s="259"/>
      <c r="AG17" s="302">
        <f t="shared" ref="AG17:AG24" si="9">A17</f>
        <v>0</v>
      </c>
      <c r="AH17" s="303">
        <f t="shared" ref="AH17:AH24" si="10">N17</f>
        <v>0</v>
      </c>
      <c r="AI17" s="837"/>
      <c r="AJ17" s="264">
        <f>1-AI17</f>
        <v>1</v>
      </c>
      <c r="AL17" s="656">
        <f t="shared" ref="AL17:AL24" si="11">N17*AE17</f>
        <v>0</v>
      </c>
      <c r="AM17" s="656">
        <f t="shared" ref="AM17:AM24" si="12">N17*AF17</f>
        <v>0</v>
      </c>
      <c r="AO17" s="656">
        <f t="shared" ref="AO17:AO24" si="13">N17*AI17</f>
        <v>0</v>
      </c>
      <c r="AP17" s="656">
        <f t="shared" ref="AP17:AP24" si="14">N17*AJ17</f>
        <v>0</v>
      </c>
      <c r="AR17" s="656">
        <f t="shared" ref="AR17:AS24" si="15">AL17+AO17</f>
        <v>0</v>
      </c>
      <c r="AS17" s="656">
        <f t="shared" si="15"/>
        <v>0</v>
      </c>
      <c r="AT17" s="656">
        <f>AR17+AS17</f>
        <v>0</v>
      </c>
    </row>
    <row r="18" spans="1:46" ht="16.5" customHeight="1" thickTop="1" thickBot="1" x14ac:dyDescent="0.3">
      <c r="A18" s="602"/>
      <c r="B18" s="1370"/>
      <c r="C18" s="226"/>
      <c r="D18" s="875">
        <f t="shared" si="0"/>
        <v>0</v>
      </c>
      <c r="E18" s="1374"/>
      <c r="F18" s="223" t="str">
        <f t="shared" si="1"/>
        <v xml:space="preserve">n/a </v>
      </c>
      <c r="G18" s="227"/>
      <c r="H18" s="1436"/>
      <c r="I18" s="1378"/>
      <c r="J18" s="1291"/>
      <c r="K18" s="398">
        <f t="shared" ref="K18:K24" si="16">IF(AND(Q18=12,U18="Yes"),G18*Z18,IF(AND(Q18&lt;12,U18="Yes"),G18*S18*Z18,IF(AND(R18="Yes",U18="No"),G18*D18*S18,G18*D18*S18)))</f>
        <v>0</v>
      </c>
      <c r="L18" s="223">
        <f t="shared" si="2"/>
        <v>0.30499999999999999</v>
      </c>
      <c r="M18" s="398">
        <f t="shared" si="3"/>
        <v>0</v>
      </c>
      <c r="N18" s="513">
        <f t="shared" si="4"/>
        <v>0</v>
      </c>
      <c r="O18" s="261"/>
      <c r="P18" s="261"/>
      <c r="Q18" s="836">
        <v>12</v>
      </c>
      <c r="R18" s="1072" t="s">
        <v>60</v>
      </c>
      <c r="S18" s="1073">
        <f t="shared" si="5"/>
        <v>1</v>
      </c>
      <c r="T18" s="866"/>
      <c r="U18" s="877" t="s">
        <v>60</v>
      </c>
      <c r="V18" s="248" t="str">
        <f t="shared" si="6"/>
        <v xml:space="preserve"> </v>
      </c>
      <c r="W18" s="250" t="str">
        <f t="shared" ref="W18:W24" si="17">IF(U18="No", " ", 1-V18)</f>
        <v xml:space="preserve"> </v>
      </c>
      <c r="X18" s="1297"/>
      <c r="Y18" s="1307" t="str">
        <f t="shared" ref="Y18:Y24" si="18">IF(AA18 = " ", " ", AA18*12)</f>
        <v xml:space="preserve"> </v>
      </c>
      <c r="Z18" s="1308">
        <f t="shared" ref="Z18:Z24" si="19">X18/12</f>
        <v>0</v>
      </c>
      <c r="AA18" s="254" t="str">
        <f t="shared" si="7"/>
        <v xml:space="preserve"> </v>
      </c>
      <c r="AB18" s="1027" t="str">
        <f t="shared" si="8"/>
        <v xml:space="preserve"> </v>
      </c>
      <c r="AC18" s="697"/>
      <c r="AD18" s="258"/>
      <c r="AE18" s="259"/>
      <c r="AF18" s="259"/>
      <c r="AG18" s="302">
        <f t="shared" si="9"/>
        <v>0</v>
      </c>
      <c r="AH18" s="303">
        <f t="shared" si="10"/>
        <v>0</v>
      </c>
      <c r="AI18" s="837"/>
      <c r="AJ18" s="264">
        <f t="shared" ref="AJ18:AJ24" si="20">1-AI18</f>
        <v>1</v>
      </c>
      <c r="AL18" s="656">
        <f t="shared" si="11"/>
        <v>0</v>
      </c>
      <c r="AM18" s="656">
        <f t="shared" si="12"/>
        <v>0</v>
      </c>
      <c r="AO18" s="656">
        <f t="shared" si="13"/>
        <v>0</v>
      </c>
      <c r="AP18" s="656">
        <f t="shared" si="14"/>
        <v>0</v>
      </c>
      <c r="AR18" s="656">
        <f t="shared" si="15"/>
        <v>0</v>
      </c>
      <c r="AS18" s="656">
        <f t="shared" si="15"/>
        <v>0</v>
      </c>
      <c r="AT18" s="656">
        <f t="shared" ref="AT18:AT25" si="21">AR18+AS18</f>
        <v>0</v>
      </c>
    </row>
    <row r="19" spans="1:46" ht="16.5" customHeight="1" thickTop="1" thickBot="1" x14ac:dyDescent="0.3">
      <c r="A19" s="602"/>
      <c r="B19" s="1370"/>
      <c r="C19" s="226"/>
      <c r="D19" s="875">
        <f t="shared" si="0"/>
        <v>0</v>
      </c>
      <c r="E19" s="1374"/>
      <c r="F19" s="223" t="str">
        <f t="shared" si="1"/>
        <v xml:space="preserve">n/a </v>
      </c>
      <c r="G19" s="227"/>
      <c r="H19" s="1436"/>
      <c r="I19" s="1378"/>
      <c r="J19" s="1291"/>
      <c r="K19" s="398">
        <f t="shared" si="16"/>
        <v>0</v>
      </c>
      <c r="L19" s="223">
        <f t="shared" si="2"/>
        <v>0.30499999999999999</v>
      </c>
      <c r="M19" s="398">
        <f t="shared" si="3"/>
        <v>0</v>
      </c>
      <c r="N19" s="513">
        <f t="shared" si="4"/>
        <v>0</v>
      </c>
      <c r="O19" s="261"/>
      <c r="P19" s="261"/>
      <c r="Q19" s="836">
        <v>12</v>
      </c>
      <c r="R19" s="1072" t="s">
        <v>60</v>
      </c>
      <c r="S19" s="1073">
        <f t="shared" si="5"/>
        <v>1</v>
      </c>
      <c r="T19" s="866"/>
      <c r="U19" s="877" t="s">
        <v>60</v>
      </c>
      <c r="V19" s="248" t="str">
        <f t="shared" si="6"/>
        <v xml:space="preserve"> </v>
      </c>
      <c r="W19" s="250" t="str">
        <f t="shared" si="17"/>
        <v xml:space="preserve"> </v>
      </c>
      <c r="X19" s="1297"/>
      <c r="Y19" s="1307" t="str">
        <f t="shared" si="18"/>
        <v xml:space="preserve"> </v>
      </c>
      <c r="Z19" s="1308">
        <f t="shared" si="19"/>
        <v>0</v>
      </c>
      <c r="AA19" s="254" t="str">
        <f t="shared" si="7"/>
        <v xml:space="preserve"> </v>
      </c>
      <c r="AB19" s="1027" t="str">
        <f t="shared" si="8"/>
        <v xml:space="preserve"> </v>
      </c>
      <c r="AC19" s="697"/>
      <c r="AD19" s="258"/>
      <c r="AE19" s="259"/>
      <c r="AF19" s="259"/>
      <c r="AG19" s="302">
        <f t="shared" si="9"/>
        <v>0</v>
      </c>
      <c r="AH19" s="303">
        <f t="shared" si="10"/>
        <v>0</v>
      </c>
      <c r="AI19" s="837"/>
      <c r="AJ19" s="264">
        <f t="shared" si="20"/>
        <v>1</v>
      </c>
      <c r="AL19" s="656">
        <f t="shared" si="11"/>
        <v>0</v>
      </c>
      <c r="AM19" s="656">
        <f t="shared" si="12"/>
        <v>0</v>
      </c>
      <c r="AO19" s="656">
        <f t="shared" si="13"/>
        <v>0</v>
      </c>
      <c r="AP19" s="656">
        <f t="shared" si="14"/>
        <v>0</v>
      </c>
      <c r="AR19" s="656">
        <f t="shared" si="15"/>
        <v>0</v>
      </c>
      <c r="AS19" s="656">
        <f t="shared" si="15"/>
        <v>0</v>
      </c>
      <c r="AT19" s="656">
        <f t="shared" si="21"/>
        <v>0</v>
      </c>
    </row>
    <row r="20" spans="1:46" ht="16.5" customHeight="1" thickTop="1" thickBot="1" x14ac:dyDescent="0.3">
      <c r="A20" s="1060"/>
      <c r="B20" s="1370"/>
      <c r="C20" s="226"/>
      <c r="D20" s="875">
        <f t="shared" si="0"/>
        <v>0</v>
      </c>
      <c r="E20" s="1374"/>
      <c r="F20" s="223" t="str">
        <f t="shared" si="1"/>
        <v xml:space="preserve">n/a </v>
      </c>
      <c r="G20" s="227"/>
      <c r="H20" s="1436"/>
      <c r="I20" s="1378"/>
      <c r="J20" s="1291"/>
      <c r="K20" s="398">
        <f t="shared" si="16"/>
        <v>0</v>
      </c>
      <c r="L20" s="223">
        <f t="shared" si="2"/>
        <v>0.30499999999999999</v>
      </c>
      <c r="M20" s="398">
        <f t="shared" si="3"/>
        <v>0</v>
      </c>
      <c r="N20" s="513">
        <f t="shared" si="4"/>
        <v>0</v>
      </c>
      <c r="O20" s="261"/>
      <c r="P20" s="261"/>
      <c r="Q20" s="836">
        <v>12</v>
      </c>
      <c r="R20" s="1072" t="s">
        <v>60</v>
      </c>
      <c r="S20" s="1073">
        <f t="shared" si="5"/>
        <v>1</v>
      </c>
      <c r="T20" s="866"/>
      <c r="U20" s="877" t="s">
        <v>60</v>
      </c>
      <c r="V20" s="248" t="str">
        <f t="shared" si="6"/>
        <v xml:space="preserve"> </v>
      </c>
      <c r="W20" s="250" t="str">
        <f t="shared" si="17"/>
        <v xml:space="preserve"> </v>
      </c>
      <c r="X20" s="1297"/>
      <c r="Y20" s="1307" t="str">
        <f t="shared" si="18"/>
        <v xml:space="preserve"> </v>
      </c>
      <c r="Z20" s="1308">
        <f t="shared" si="19"/>
        <v>0</v>
      </c>
      <c r="AA20" s="254" t="str">
        <f t="shared" si="7"/>
        <v xml:space="preserve"> </v>
      </c>
      <c r="AB20" s="1027" t="str">
        <f t="shared" si="8"/>
        <v xml:space="preserve"> </v>
      </c>
      <c r="AC20" s="697"/>
      <c r="AD20" s="258"/>
      <c r="AE20" s="259"/>
      <c r="AF20" s="259"/>
      <c r="AG20" s="302">
        <f t="shared" si="9"/>
        <v>0</v>
      </c>
      <c r="AH20" s="303">
        <f t="shared" si="10"/>
        <v>0</v>
      </c>
      <c r="AI20" s="837"/>
      <c r="AJ20" s="264">
        <f t="shared" si="20"/>
        <v>1</v>
      </c>
      <c r="AL20" s="656">
        <f t="shared" si="11"/>
        <v>0</v>
      </c>
      <c r="AM20" s="656">
        <f t="shared" si="12"/>
        <v>0</v>
      </c>
      <c r="AO20" s="656">
        <f t="shared" si="13"/>
        <v>0</v>
      </c>
      <c r="AP20" s="656">
        <f t="shared" si="14"/>
        <v>0</v>
      </c>
      <c r="AR20" s="656">
        <f t="shared" si="15"/>
        <v>0</v>
      </c>
      <c r="AS20" s="656">
        <f t="shared" si="15"/>
        <v>0</v>
      </c>
      <c r="AT20" s="656">
        <f t="shared" si="21"/>
        <v>0</v>
      </c>
    </row>
    <row r="21" spans="1:46" ht="16.5" customHeight="1" thickTop="1" thickBot="1" x14ac:dyDescent="0.3">
      <c r="A21" s="602"/>
      <c r="B21" s="1370"/>
      <c r="C21" s="226"/>
      <c r="D21" s="875">
        <f t="shared" si="0"/>
        <v>0</v>
      </c>
      <c r="E21" s="1374"/>
      <c r="F21" s="223" t="str">
        <f t="shared" si="1"/>
        <v xml:space="preserve">n/a </v>
      </c>
      <c r="G21" s="227"/>
      <c r="H21" s="1436"/>
      <c r="I21" s="1378"/>
      <c r="J21" s="1291"/>
      <c r="K21" s="398">
        <f t="shared" si="16"/>
        <v>0</v>
      </c>
      <c r="L21" s="223">
        <f t="shared" si="2"/>
        <v>0.30499999999999999</v>
      </c>
      <c r="M21" s="398">
        <f t="shared" si="3"/>
        <v>0</v>
      </c>
      <c r="N21" s="513">
        <f t="shared" si="4"/>
        <v>0</v>
      </c>
      <c r="O21" s="261"/>
      <c r="P21" s="261"/>
      <c r="Q21" s="836">
        <v>12</v>
      </c>
      <c r="R21" s="1072" t="s">
        <v>60</v>
      </c>
      <c r="S21" s="1073">
        <f t="shared" si="5"/>
        <v>1</v>
      </c>
      <c r="T21" s="866"/>
      <c r="U21" s="877" t="s">
        <v>60</v>
      </c>
      <c r="V21" s="248" t="str">
        <f t="shared" si="6"/>
        <v xml:space="preserve"> </v>
      </c>
      <c r="W21" s="250" t="str">
        <f t="shared" si="17"/>
        <v xml:space="preserve"> </v>
      </c>
      <c r="X21" s="1297"/>
      <c r="Y21" s="1307" t="str">
        <f t="shared" si="18"/>
        <v xml:space="preserve"> </v>
      </c>
      <c r="Z21" s="1308">
        <f t="shared" si="19"/>
        <v>0</v>
      </c>
      <c r="AA21" s="254" t="str">
        <f t="shared" si="7"/>
        <v xml:space="preserve"> </v>
      </c>
      <c r="AB21" s="1027" t="str">
        <f t="shared" si="8"/>
        <v xml:space="preserve"> </v>
      </c>
      <c r="AC21" s="697"/>
      <c r="AD21" s="258"/>
      <c r="AE21" s="259"/>
      <c r="AF21" s="259"/>
      <c r="AG21" s="302">
        <f t="shared" si="9"/>
        <v>0</v>
      </c>
      <c r="AH21" s="303">
        <f t="shared" si="10"/>
        <v>0</v>
      </c>
      <c r="AI21" s="837"/>
      <c r="AJ21" s="264">
        <f t="shared" si="20"/>
        <v>1</v>
      </c>
      <c r="AL21" s="656">
        <f t="shared" si="11"/>
        <v>0</v>
      </c>
      <c r="AM21" s="656">
        <f t="shared" si="12"/>
        <v>0</v>
      </c>
      <c r="AO21" s="656">
        <f t="shared" si="13"/>
        <v>0</v>
      </c>
      <c r="AP21" s="656">
        <f t="shared" si="14"/>
        <v>0</v>
      </c>
      <c r="AR21" s="656">
        <f t="shared" si="15"/>
        <v>0</v>
      </c>
      <c r="AS21" s="656">
        <f t="shared" si="15"/>
        <v>0</v>
      </c>
      <c r="AT21" s="656">
        <f t="shared" si="21"/>
        <v>0</v>
      </c>
    </row>
    <row r="22" spans="1:46" ht="16.5" customHeight="1" thickTop="1" thickBot="1" x14ac:dyDescent="0.3">
      <c r="A22" s="602"/>
      <c r="B22" s="1370"/>
      <c r="C22" s="226"/>
      <c r="D22" s="875">
        <f t="shared" si="0"/>
        <v>0</v>
      </c>
      <c r="E22" s="1374"/>
      <c r="F22" s="223" t="str">
        <f t="shared" si="1"/>
        <v xml:space="preserve">n/a </v>
      </c>
      <c r="G22" s="227"/>
      <c r="H22" s="1436"/>
      <c r="I22" s="1378"/>
      <c r="J22" s="1291"/>
      <c r="K22" s="398">
        <f t="shared" si="16"/>
        <v>0</v>
      </c>
      <c r="L22" s="223">
        <f t="shared" si="2"/>
        <v>0.30499999999999999</v>
      </c>
      <c r="M22" s="398">
        <f t="shared" si="3"/>
        <v>0</v>
      </c>
      <c r="N22" s="513">
        <f t="shared" si="4"/>
        <v>0</v>
      </c>
      <c r="O22" s="261"/>
      <c r="P22" s="261"/>
      <c r="Q22" s="836">
        <v>12</v>
      </c>
      <c r="R22" s="1072" t="s">
        <v>60</v>
      </c>
      <c r="S22" s="1073">
        <f t="shared" si="5"/>
        <v>1</v>
      </c>
      <c r="T22" s="866"/>
      <c r="U22" s="877" t="s">
        <v>60</v>
      </c>
      <c r="V22" s="248" t="str">
        <f t="shared" si="6"/>
        <v xml:space="preserve"> </v>
      </c>
      <c r="W22" s="250" t="str">
        <f t="shared" si="17"/>
        <v xml:space="preserve"> </v>
      </c>
      <c r="X22" s="1297"/>
      <c r="Y22" s="1307" t="str">
        <f t="shared" si="18"/>
        <v xml:space="preserve"> </v>
      </c>
      <c r="Z22" s="1308">
        <f t="shared" si="19"/>
        <v>0</v>
      </c>
      <c r="AA22" s="254" t="str">
        <f t="shared" si="7"/>
        <v xml:space="preserve"> </v>
      </c>
      <c r="AB22" s="1027" t="str">
        <f t="shared" si="8"/>
        <v xml:space="preserve"> </v>
      </c>
      <c r="AC22" s="697"/>
      <c r="AD22" s="258"/>
      <c r="AE22" s="259"/>
      <c r="AF22" s="259"/>
      <c r="AG22" s="302">
        <f t="shared" si="9"/>
        <v>0</v>
      </c>
      <c r="AH22" s="303">
        <f t="shared" si="10"/>
        <v>0</v>
      </c>
      <c r="AI22" s="837"/>
      <c r="AJ22" s="264">
        <f t="shared" si="20"/>
        <v>1</v>
      </c>
      <c r="AL22" s="656">
        <f t="shared" si="11"/>
        <v>0</v>
      </c>
      <c r="AM22" s="656">
        <f t="shared" si="12"/>
        <v>0</v>
      </c>
      <c r="AO22" s="656">
        <f t="shared" si="13"/>
        <v>0</v>
      </c>
      <c r="AP22" s="656">
        <f t="shared" si="14"/>
        <v>0</v>
      </c>
      <c r="AR22" s="656">
        <f t="shared" si="15"/>
        <v>0</v>
      </c>
      <c r="AS22" s="656">
        <f t="shared" si="15"/>
        <v>0</v>
      </c>
      <c r="AT22" s="656">
        <f t="shared" si="21"/>
        <v>0</v>
      </c>
    </row>
    <row r="23" spans="1:46" ht="16.5" customHeight="1" thickTop="1" thickBot="1" x14ac:dyDescent="0.3">
      <c r="A23" s="602"/>
      <c r="B23" s="1370"/>
      <c r="C23" s="226"/>
      <c r="D23" s="875">
        <f t="shared" si="0"/>
        <v>0</v>
      </c>
      <c r="E23" s="1374"/>
      <c r="F23" s="223" t="str">
        <f t="shared" si="1"/>
        <v xml:space="preserve">n/a </v>
      </c>
      <c r="G23" s="227"/>
      <c r="H23" s="1436"/>
      <c r="I23" s="1378"/>
      <c r="J23" s="1291"/>
      <c r="K23" s="398">
        <f t="shared" si="16"/>
        <v>0</v>
      </c>
      <c r="L23" s="223">
        <f t="shared" si="2"/>
        <v>0.30499999999999999</v>
      </c>
      <c r="M23" s="398">
        <f t="shared" si="3"/>
        <v>0</v>
      </c>
      <c r="N23" s="513">
        <f t="shared" si="4"/>
        <v>0</v>
      </c>
      <c r="O23" s="261"/>
      <c r="P23" s="261"/>
      <c r="Q23" s="836">
        <v>12</v>
      </c>
      <c r="R23" s="1072" t="s">
        <v>60</v>
      </c>
      <c r="S23" s="1073">
        <f t="shared" si="5"/>
        <v>1</v>
      </c>
      <c r="T23" s="866"/>
      <c r="U23" s="877" t="s">
        <v>60</v>
      </c>
      <c r="V23" s="248" t="str">
        <f t="shared" si="6"/>
        <v xml:space="preserve"> </v>
      </c>
      <c r="W23" s="250" t="str">
        <f t="shared" si="17"/>
        <v xml:space="preserve"> </v>
      </c>
      <c r="X23" s="1297"/>
      <c r="Y23" s="1307" t="str">
        <f t="shared" si="18"/>
        <v xml:space="preserve"> </v>
      </c>
      <c r="Z23" s="1308">
        <f t="shared" si="19"/>
        <v>0</v>
      </c>
      <c r="AA23" s="254" t="str">
        <f t="shared" si="7"/>
        <v xml:space="preserve"> </v>
      </c>
      <c r="AB23" s="1027" t="str">
        <f t="shared" si="8"/>
        <v xml:space="preserve"> </v>
      </c>
      <c r="AC23" s="697"/>
      <c r="AD23" s="258"/>
      <c r="AE23" s="259"/>
      <c r="AF23" s="259"/>
      <c r="AG23" s="302">
        <f t="shared" si="9"/>
        <v>0</v>
      </c>
      <c r="AH23" s="303">
        <f t="shared" si="10"/>
        <v>0</v>
      </c>
      <c r="AI23" s="837"/>
      <c r="AJ23" s="264">
        <f t="shared" si="20"/>
        <v>1</v>
      </c>
      <c r="AL23" s="656">
        <f t="shared" si="11"/>
        <v>0</v>
      </c>
      <c r="AM23" s="656">
        <f t="shared" si="12"/>
        <v>0</v>
      </c>
      <c r="AO23" s="656">
        <f t="shared" si="13"/>
        <v>0</v>
      </c>
      <c r="AP23" s="656">
        <f t="shared" si="14"/>
        <v>0</v>
      </c>
      <c r="AR23" s="656">
        <f t="shared" si="15"/>
        <v>0</v>
      </c>
      <c r="AS23" s="656">
        <f t="shared" si="15"/>
        <v>0</v>
      </c>
      <c r="AT23" s="656">
        <f t="shared" si="21"/>
        <v>0</v>
      </c>
    </row>
    <row r="24" spans="1:46" ht="16.5" customHeight="1" thickTop="1" x14ac:dyDescent="0.25">
      <c r="A24" s="602"/>
      <c r="B24" s="1370"/>
      <c r="C24" s="226"/>
      <c r="D24" s="875">
        <f t="shared" si="0"/>
        <v>0</v>
      </c>
      <c r="E24" s="1374"/>
      <c r="F24" s="223" t="str">
        <f t="shared" si="1"/>
        <v xml:space="preserve">n/a </v>
      </c>
      <c r="G24" s="227"/>
      <c r="H24" s="1436"/>
      <c r="I24" s="1378"/>
      <c r="J24" s="1292"/>
      <c r="K24" s="398">
        <f t="shared" si="16"/>
        <v>0</v>
      </c>
      <c r="L24" s="223">
        <f t="shared" si="2"/>
        <v>0.30499999999999999</v>
      </c>
      <c r="M24" s="398">
        <f t="shared" si="3"/>
        <v>0</v>
      </c>
      <c r="N24" s="513">
        <f t="shared" si="4"/>
        <v>0</v>
      </c>
      <c r="O24" s="261"/>
      <c r="P24" s="261"/>
      <c r="Q24" s="847">
        <v>12</v>
      </c>
      <c r="R24" s="1074" t="s">
        <v>60</v>
      </c>
      <c r="S24" s="1075">
        <f t="shared" si="5"/>
        <v>1</v>
      </c>
      <c r="T24" s="866"/>
      <c r="U24" s="879" t="s">
        <v>60</v>
      </c>
      <c r="V24" s="252" t="str">
        <f t="shared" si="6"/>
        <v xml:space="preserve"> </v>
      </c>
      <c r="W24" s="253" t="str">
        <f t="shared" si="17"/>
        <v xml:space="preserve"> </v>
      </c>
      <c r="X24" s="1297"/>
      <c r="Y24" s="1307" t="str">
        <f t="shared" si="18"/>
        <v xml:space="preserve"> </v>
      </c>
      <c r="Z24" s="1308">
        <f t="shared" si="19"/>
        <v>0</v>
      </c>
      <c r="AA24" s="257" t="str">
        <f t="shared" si="7"/>
        <v xml:space="preserve"> </v>
      </c>
      <c r="AB24" s="1027" t="str">
        <f t="shared" si="8"/>
        <v xml:space="preserve"> </v>
      </c>
      <c r="AC24" s="697"/>
      <c r="AD24" s="258"/>
      <c r="AE24" s="259"/>
      <c r="AF24" s="259"/>
      <c r="AG24" s="302">
        <f t="shared" si="9"/>
        <v>0</v>
      </c>
      <c r="AH24" s="303">
        <f t="shared" si="10"/>
        <v>0</v>
      </c>
      <c r="AI24" s="837"/>
      <c r="AJ24" s="264">
        <f t="shared" si="20"/>
        <v>1</v>
      </c>
      <c r="AL24" s="656">
        <f t="shared" si="11"/>
        <v>0</v>
      </c>
      <c r="AM24" s="656">
        <f t="shared" si="12"/>
        <v>0</v>
      </c>
      <c r="AO24" s="656">
        <f t="shared" si="13"/>
        <v>0</v>
      </c>
      <c r="AP24" s="656">
        <f t="shared" si="14"/>
        <v>0</v>
      </c>
      <c r="AR24" s="656">
        <f t="shared" si="15"/>
        <v>0</v>
      </c>
      <c r="AS24" s="656">
        <f t="shared" si="15"/>
        <v>0</v>
      </c>
      <c r="AT24" s="656">
        <f t="shared" si="21"/>
        <v>0</v>
      </c>
    </row>
    <row r="25" spans="1:46" ht="14.4" x14ac:dyDescent="0.25">
      <c r="A25" s="293"/>
      <c r="B25" s="293"/>
      <c r="C25" s="294"/>
      <c r="D25" s="294"/>
      <c r="E25" s="294"/>
      <c r="F25" s="1204" t="s">
        <v>222</v>
      </c>
      <c r="G25" s="295"/>
      <c r="H25" s="295"/>
      <c r="I25" s="1204" t="s">
        <v>222</v>
      </c>
      <c r="J25" s="1204"/>
      <c r="K25" s="297">
        <v>0</v>
      </c>
      <c r="L25" s="297"/>
      <c r="M25" s="297">
        <v>0</v>
      </c>
      <c r="N25" s="117">
        <f>K25+M25</f>
        <v>0</v>
      </c>
      <c r="O25" s="261"/>
      <c r="P25" s="261"/>
      <c r="Q25" s="423"/>
      <c r="R25" s="1060"/>
      <c r="S25" s="1060"/>
      <c r="T25" s="866"/>
      <c r="U25" s="866"/>
      <c r="V25" s="866"/>
      <c r="W25" s="866"/>
      <c r="Z25" s="866"/>
      <c r="AA25" s="866"/>
      <c r="AB25" s="866"/>
      <c r="AC25" s="326"/>
      <c r="AD25" s="260"/>
      <c r="AE25" s="261"/>
      <c r="AF25" s="259"/>
      <c r="AG25" s="262"/>
      <c r="AH25" s="263">
        <v>0</v>
      </c>
      <c r="AI25" s="263">
        <v>0</v>
      </c>
      <c r="AJ25" s="273"/>
      <c r="AL25" s="297" t="s">
        <v>138</v>
      </c>
      <c r="AM25" s="297" t="s">
        <v>138</v>
      </c>
      <c r="AO25" s="297" t="s">
        <v>138</v>
      </c>
      <c r="AP25" s="297" t="s">
        <v>138</v>
      </c>
      <c r="AR25" s="297">
        <v>0</v>
      </c>
      <c r="AS25" s="297">
        <v>0</v>
      </c>
      <c r="AT25" s="420">
        <f t="shared" si="21"/>
        <v>0</v>
      </c>
    </row>
    <row r="26" spans="1:46" ht="16.5" customHeight="1" thickBot="1" x14ac:dyDescent="0.3">
      <c r="A26" s="1221" t="s">
        <v>9</v>
      </c>
      <c r="B26" s="1367"/>
      <c r="C26" s="1163"/>
      <c r="D26" s="1163"/>
      <c r="E26" s="1163"/>
      <c r="F26" s="421"/>
      <c r="G26" s="421"/>
      <c r="H26" s="421"/>
      <c r="I26" s="421"/>
      <c r="J26" s="421"/>
      <c r="K26" s="1164">
        <f>SUM(K17:K25)</f>
        <v>0</v>
      </c>
      <c r="L26" s="1164"/>
      <c r="M26" s="1166">
        <f>SUM(M17:M25)</f>
        <v>0</v>
      </c>
      <c r="N26" s="299">
        <f>SUM(N17:N25)</f>
        <v>0</v>
      </c>
      <c r="O26" s="705"/>
      <c r="P26" s="705"/>
      <c r="Q26" s="866"/>
      <c r="T26" s="866"/>
      <c r="U26" s="866"/>
      <c r="V26" s="866"/>
      <c r="W26" s="866"/>
      <c r="Z26" s="866"/>
      <c r="AA26" s="866"/>
      <c r="AB26" s="866"/>
      <c r="AC26" s="326"/>
      <c r="AD26" s="271"/>
      <c r="AE26" s="272"/>
      <c r="AF26" s="272"/>
      <c r="AG26" s="262"/>
      <c r="AH26" s="262"/>
      <c r="AI26" s="272"/>
      <c r="AJ26" s="273"/>
      <c r="AL26" s="706">
        <f>SUM(AL17:AL25)</f>
        <v>0</v>
      </c>
      <c r="AM26" s="706">
        <f>SUM(AM17:AM25)</f>
        <v>0</v>
      </c>
      <c r="AO26" s="706">
        <f>SUM(AO17:AO25)</f>
        <v>0</v>
      </c>
      <c r="AP26" s="706">
        <f>SUM(AP17:AP25)</f>
        <v>0</v>
      </c>
      <c r="AR26" s="656">
        <f>SUM(AR17:AR25)</f>
        <v>0</v>
      </c>
      <c r="AS26" s="656">
        <f>SUM(AS17:AS25)</f>
        <v>0</v>
      </c>
      <c r="AT26" s="706">
        <f>SUM(AT17:AT25)</f>
        <v>0</v>
      </c>
    </row>
    <row r="27" spans="1:46" ht="16.5" customHeight="1" x14ac:dyDescent="0.25">
      <c r="A27" s="1187" t="s">
        <v>120</v>
      </c>
      <c r="B27" s="1187"/>
      <c r="C27" s="226"/>
      <c r="D27" s="226"/>
      <c r="E27" s="226"/>
      <c r="F27" s="301"/>
      <c r="G27" s="301"/>
      <c r="H27" s="301"/>
      <c r="I27" s="301"/>
      <c r="J27" s="301"/>
      <c r="K27" s="301"/>
      <c r="L27" s="301"/>
      <c r="M27" s="301"/>
      <c r="N27" s="338"/>
      <c r="O27" s="707"/>
      <c r="P27" s="707"/>
      <c r="Q27" s="866"/>
      <c r="T27" s="866"/>
      <c r="U27" s="866"/>
      <c r="V27" s="866"/>
      <c r="W27" s="866"/>
      <c r="Z27" s="866"/>
      <c r="AA27" s="866"/>
      <c r="AB27" s="866"/>
      <c r="AC27" s="326"/>
      <c r="AD27" s="271"/>
      <c r="AE27" s="272"/>
      <c r="AF27" s="272"/>
      <c r="AG27" s="262"/>
      <c r="AH27" s="262"/>
      <c r="AI27" s="272"/>
      <c r="AJ27" s="273"/>
      <c r="AR27" s="708"/>
      <c r="AS27" s="706"/>
    </row>
    <row r="28" spans="1:46" ht="16.5" customHeight="1" x14ac:dyDescent="0.25">
      <c r="A28" s="1144"/>
      <c r="B28" s="1370"/>
      <c r="C28" s="342"/>
      <c r="D28" s="342"/>
      <c r="E28" s="342"/>
      <c r="F28" s="1061"/>
      <c r="G28" s="1061"/>
      <c r="H28" s="227"/>
      <c r="I28" s="1270"/>
      <c r="K28" s="301"/>
      <c r="L28" s="301"/>
      <c r="M28" s="301"/>
      <c r="N28" s="227"/>
      <c r="O28" s="709"/>
      <c r="P28" s="709"/>
      <c r="Q28" s="866"/>
      <c r="T28" s="866"/>
      <c r="U28" s="866"/>
      <c r="V28" s="866"/>
      <c r="W28" s="866"/>
      <c r="Z28" s="866"/>
      <c r="AA28" s="866"/>
      <c r="AB28" s="866"/>
      <c r="AC28" s="326"/>
      <c r="AD28" s="271"/>
      <c r="AE28" s="272"/>
      <c r="AF28" s="272"/>
      <c r="AG28" s="262"/>
      <c r="AH28" s="262"/>
      <c r="AI28" s="272"/>
      <c r="AJ28" s="273"/>
    </row>
    <row r="29" spans="1:46" ht="16.5" customHeight="1" x14ac:dyDescent="0.25">
      <c r="A29" s="602"/>
      <c r="B29" s="1370"/>
      <c r="C29" s="226"/>
      <c r="D29" s="226"/>
      <c r="E29" s="226"/>
      <c r="F29" s="301"/>
      <c r="G29" s="301"/>
      <c r="H29" s="227"/>
      <c r="I29" s="1270"/>
      <c r="K29" s="301"/>
      <c r="L29" s="301"/>
      <c r="M29" s="301"/>
      <c r="N29" s="227"/>
      <c r="O29" s="261"/>
      <c r="P29" s="261"/>
      <c r="Q29" s="866"/>
      <c r="T29" s="866"/>
      <c r="U29" s="866"/>
      <c r="V29" s="866"/>
      <c r="W29" s="866"/>
      <c r="Z29" s="866"/>
      <c r="AA29" s="866"/>
      <c r="AB29" s="866"/>
      <c r="AC29" s="326"/>
      <c r="AD29" s="271"/>
      <c r="AE29" s="272"/>
      <c r="AF29" s="272"/>
      <c r="AG29" s="262"/>
      <c r="AH29" s="262"/>
      <c r="AI29" s="272"/>
      <c r="AJ29" s="273"/>
    </row>
    <row r="30" spans="1:46" ht="16.5" customHeight="1" x14ac:dyDescent="0.25">
      <c r="A30" s="602"/>
      <c r="B30" s="1370"/>
      <c r="C30" s="226"/>
      <c r="D30" s="226"/>
      <c r="E30" s="226"/>
      <c r="F30" s="301"/>
      <c r="G30" s="301"/>
      <c r="H30" s="227"/>
      <c r="I30" s="1270"/>
      <c r="K30" s="301"/>
      <c r="L30" s="301"/>
      <c r="M30" s="301"/>
      <c r="N30" s="339"/>
      <c r="O30" s="261"/>
      <c r="P30" s="261"/>
      <c r="Q30" s="866"/>
      <c r="T30" s="866"/>
      <c r="U30" s="866"/>
      <c r="V30" s="866"/>
      <c r="W30" s="866"/>
      <c r="Z30" s="866"/>
      <c r="AA30" s="866"/>
      <c r="AB30" s="866"/>
      <c r="AC30" s="326"/>
      <c r="AD30" s="271"/>
      <c r="AE30" s="272"/>
      <c r="AF30" s="272"/>
      <c r="AG30" s="262"/>
      <c r="AH30" s="262"/>
      <c r="AI30" s="272"/>
      <c r="AJ30" s="273"/>
    </row>
    <row r="31" spans="1:46" ht="16.5" customHeight="1" thickBot="1" x14ac:dyDescent="0.35">
      <c r="A31" s="1216" t="s">
        <v>121</v>
      </c>
      <c r="B31" s="1216"/>
      <c r="C31" s="1161"/>
      <c r="D31" s="1161"/>
      <c r="E31" s="1161"/>
      <c r="F31" s="1161"/>
      <c r="G31" s="1161"/>
      <c r="H31" s="1161"/>
      <c r="I31" s="1161"/>
      <c r="K31" s="1161"/>
      <c r="L31" s="1161"/>
      <c r="M31" s="1167"/>
      <c r="N31" s="299">
        <f>SUM(H28:H30)+SUM(N28:N30)</f>
        <v>0</v>
      </c>
      <c r="O31" s="705"/>
      <c r="P31" s="705"/>
      <c r="Q31" s="425" t="s">
        <v>45</v>
      </c>
      <c r="R31" s="1067"/>
      <c r="T31" s="866"/>
      <c r="U31" s="866"/>
      <c r="V31" s="866"/>
      <c r="W31" s="866"/>
      <c r="Z31" s="866"/>
      <c r="AA31" s="866"/>
      <c r="AB31" s="866"/>
      <c r="AC31" s="326"/>
      <c r="AD31" s="274" t="s">
        <v>168</v>
      </c>
      <c r="AE31" s="272" t="s">
        <v>203</v>
      </c>
      <c r="AF31" s="272" t="s">
        <v>204</v>
      </c>
      <c r="AG31" s="262"/>
      <c r="AH31" s="275" t="s">
        <v>168</v>
      </c>
      <c r="AI31" s="272" t="s">
        <v>203</v>
      </c>
      <c r="AJ31" s="273" t="s">
        <v>204</v>
      </c>
      <c r="AL31" s="275" t="s">
        <v>168</v>
      </c>
    </row>
    <row r="32" spans="1:46" ht="16.5" customHeight="1" x14ac:dyDescent="0.25">
      <c r="A32" s="1187" t="s">
        <v>13</v>
      </c>
      <c r="B32" s="1187"/>
      <c r="C32" s="226"/>
      <c r="D32" s="226"/>
      <c r="E32" s="226"/>
      <c r="F32" s="301"/>
      <c r="G32" s="340"/>
      <c r="H32" s="301"/>
      <c r="I32" s="261"/>
      <c r="K32" s="301"/>
      <c r="L32" s="301"/>
      <c r="M32" s="301"/>
      <c r="N32" s="338"/>
      <c r="O32" s="707"/>
      <c r="P32" s="707"/>
      <c r="Q32" s="866"/>
      <c r="T32" s="866"/>
      <c r="U32" s="866"/>
      <c r="V32" s="866"/>
      <c r="W32" s="866"/>
      <c r="Z32" s="866"/>
      <c r="AA32" s="866"/>
      <c r="AB32" s="866"/>
      <c r="AC32" s="326"/>
      <c r="AD32" s="274" t="s">
        <v>167</v>
      </c>
      <c r="AE32" s="278" t="s">
        <v>136</v>
      </c>
      <c r="AF32" s="278" t="s">
        <v>137</v>
      </c>
      <c r="AG32" s="262"/>
      <c r="AH32" s="275" t="s">
        <v>167</v>
      </c>
      <c r="AI32" s="278" t="s">
        <v>136</v>
      </c>
      <c r="AJ32" s="279" t="s">
        <v>137</v>
      </c>
      <c r="AL32" s="275"/>
    </row>
    <row r="33" spans="1:46" ht="16.5" customHeight="1" x14ac:dyDescent="0.25">
      <c r="A33" s="1144"/>
      <c r="B33" s="1370"/>
      <c r="C33" s="1060"/>
      <c r="D33" s="1287"/>
      <c r="E33" s="1370"/>
      <c r="F33" s="1061"/>
      <c r="G33" s="1061"/>
      <c r="H33" s="227"/>
      <c r="I33" s="1270"/>
      <c r="K33" s="301"/>
      <c r="L33" s="301"/>
      <c r="M33" s="301"/>
      <c r="N33" s="227"/>
      <c r="O33" s="709"/>
      <c r="P33" s="709"/>
      <c r="Q33" s="866"/>
      <c r="T33" s="866"/>
      <c r="U33" s="866"/>
      <c r="V33" s="866"/>
      <c r="W33" s="866"/>
      <c r="Z33" s="866"/>
      <c r="AA33" s="866"/>
      <c r="AB33" s="866"/>
      <c r="AD33" s="1463" t="s">
        <v>159</v>
      </c>
      <c r="AE33" s="1464"/>
      <c r="AF33" s="1464"/>
      <c r="AG33" s="262"/>
      <c r="AH33" s="1465" t="s">
        <v>160</v>
      </c>
      <c r="AI33" s="1465"/>
      <c r="AJ33" s="1466"/>
      <c r="AL33" s="1464" t="s">
        <v>159</v>
      </c>
      <c r="AM33" s="1464"/>
      <c r="AO33" s="1466" t="s">
        <v>160</v>
      </c>
      <c r="AP33" s="1466"/>
      <c r="AR33" s="1506" t="s">
        <v>161</v>
      </c>
      <c r="AS33" s="1506"/>
      <c r="AT33" s="1506"/>
    </row>
    <row r="34" spans="1:46" ht="16.5" customHeight="1" x14ac:dyDescent="0.25">
      <c r="A34" s="602"/>
      <c r="B34" s="1370"/>
      <c r="C34" s="226"/>
      <c r="D34" s="226"/>
      <c r="E34" s="226"/>
      <c r="F34" s="301"/>
      <c r="H34" s="227"/>
      <c r="I34" s="1270"/>
      <c r="K34" s="301"/>
      <c r="L34" s="301"/>
      <c r="M34" s="301"/>
      <c r="N34" s="227"/>
      <c r="O34" s="261"/>
      <c r="P34" s="261"/>
      <c r="Q34" s="866"/>
      <c r="T34" s="866"/>
      <c r="U34" s="866"/>
      <c r="V34" s="866"/>
      <c r="W34" s="866"/>
      <c r="Z34" s="866"/>
      <c r="AA34" s="866"/>
      <c r="AB34" s="866"/>
      <c r="AD34" s="643">
        <f>H34</f>
        <v>0</v>
      </c>
      <c r="AE34" s="837"/>
      <c r="AF34" s="495">
        <f>1-AE34</f>
        <v>1</v>
      </c>
      <c r="AG34" s="493"/>
      <c r="AH34" s="644">
        <f>N34</f>
        <v>0</v>
      </c>
      <c r="AI34" s="837"/>
      <c r="AJ34" s="264">
        <f>1-AI34</f>
        <v>1</v>
      </c>
      <c r="AL34" s="656">
        <f>H34*AE34</f>
        <v>0</v>
      </c>
      <c r="AM34" s="656">
        <f>H34*AF34</f>
        <v>0</v>
      </c>
      <c r="AO34" s="656">
        <f>N34*AI34</f>
        <v>0</v>
      </c>
      <c r="AP34" s="656">
        <f>N34*AJ34</f>
        <v>0</v>
      </c>
      <c r="AR34" s="656">
        <f>AL34+AO34</f>
        <v>0</v>
      </c>
      <c r="AS34" s="656">
        <f>AM34+AP34</f>
        <v>0</v>
      </c>
      <c r="AT34" s="656">
        <f>SUM(AR34:AS34)</f>
        <v>0</v>
      </c>
    </row>
    <row r="35" spans="1:46" ht="16.5" customHeight="1" x14ac:dyDescent="0.25">
      <c r="A35" s="602"/>
      <c r="B35" s="1370"/>
      <c r="C35" s="226"/>
      <c r="D35" s="226"/>
      <c r="E35" s="226"/>
      <c r="F35" s="301"/>
      <c r="H35" s="227"/>
      <c r="I35" s="1270"/>
      <c r="K35" s="301"/>
      <c r="L35" s="1206"/>
      <c r="M35" s="1204" t="s">
        <v>223</v>
      </c>
      <c r="N35" s="382">
        <v>0</v>
      </c>
      <c r="O35" s="261"/>
      <c r="P35" s="261"/>
      <c r="Q35" s="866"/>
      <c r="T35" s="866"/>
      <c r="U35" s="866"/>
      <c r="V35" s="866"/>
      <c r="W35" s="866"/>
      <c r="Z35" s="866"/>
      <c r="AA35" s="866"/>
      <c r="AB35" s="866"/>
      <c r="AD35" s="643">
        <f>H35</f>
        <v>0</v>
      </c>
      <c r="AE35" s="837"/>
      <c r="AF35" s="495">
        <f>1-AE35</f>
        <v>1</v>
      </c>
      <c r="AG35" s="493"/>
      <c r="AH35" s="263">
        <v>0</v>
      </c>
      <c r="AI35" s="263">
        <v>0</v>
      </c>
      <c r="AJ35" s="273"/>
      <c r="AL35" s="420">
        <f>H35*AE35</f>
        <v>0</v>
      </c>
      <c r="AM35" s="420">
        <f>H35*AF35</f>
        <v>0</v>
      </c>
      <c r="AN35" s="262"/>
      <c r="AO35" s="297">
        <v>0</v>
      </c>
      <c r="AP35" s="297">
        <v>0</v>
      </c>
      <c r="AR35" s="420">
        <f>AL35+AO35</f>
        <v>0</v>
      </c>
      <c r="AS35" s="420">
        <f>AM35+AP35</f>
        <v>0</v>
      </c>
      <c r="AT35" s="420">
        <f t="shared" ref="AT35:AT36" si="22">SUM(AR35:AS35)</f>
        <v>0</v>
      </c>
    </row>
    <row r="36" spans="1:46" ht="16.5" customHeight="1" thickBot="1" x14ac:dyDescent="0.3">
      <c r="A36" s="1216" t="s">
        <v>14</v>
      </c>
      <c r="B36" s="1216"/>
      <c r="C36" s="1161"/>
      <c r="D36" s="1161"/>
      <c r="E36" s="1161"/>
      <c r="F36" s="1161"/>
      <c r="G36" s="1161"/>
      <c r="H36" s="1161"/>
      <c r="I36" s="1161"/>
      <c r="K36" s="1161"/>
      <c r="L36" s="1161"/>
      <c r="M36" s="1167"/>
      <c r="N36" s="383">
        <f>SUM(H33:H35)+SUM(N33:N35)</f>
        <v>0</v>
      </c>
      <c r="O36" s="710"/>
      <c r="P36" s="710"/>
      <c r="Q36" s="866"/>
      <c r="T36" s="866"/>
      <c r="U36" s="866"/>
      <c r="V36" s="866"/>
      <c r="W36" s="866"/>
      <c r="Z36" s="866"/>
      <c r="AA36" s="866"/>
      <c r="AB36" s="866"/>
      <c r="AD36" s="492"/>
      <c r="AE36" s="272"/>
      <c r="AF36" s="272"/>
      <c r="AG36" s="493"/>
      <c r="AH36" s="493"/>
      <c r="AI36" s="272"/>
      <c r="AJ36" s="273"/>
      <c r="AL36" s="656">
        <f>SUM(AL34:AL35)</f>
        <v>0</v>
      </c>
      <c r="AM36" s="656">
        <f t="shared" ref="AM36:AP36" si="23">SUM(AM34:AM35)</f>
        <v>0</v>
      </c>
      <c r="AN36" s="656"/>
      <c r="AO36" s="656">
        <f t="shared" si="23"/>
        <v>0</v>
      </c>
      <c r="AP36" s="656">
        <f t="shared" si="23"/>
        <v>0</v>
      </c>
      <c r="AR36" s="656">
        <f>SUM(AR34:AR35)</f>
        <v>0</v>
      </c>
      <c r="AS36" s="656">
        <f>SUM(AS34:AS35)</f>
        <v>0</v>
      </c>
      <c r="AT36" s="706">
        <f t="shared" si="22"/>
        <v>0</v>
      </c>
    </row>
    <row r="37" spans="1:46" ht="16.5" customHeight="1" x14ac:dyDescent="0.25">
      <c r="A37" s="1194" t="s">
        <v>10</v>
      </c>
      <c r="B37" s="1194"/>
      <c r="C37" s="226"/>
      <c r="D37" s="226"/>
      <c r="E37" s="226"/>
      <c r="F37" s="301"/>
      <c r="G37" s="301"/>
      <c r="H37" s="301"/>
      <c r="I37" s="301"/>
      <c r="K37" s="301"/>
      <c r="L37" s="398"/>
      <c r="M37" s="301"/>
      <c r="N37" s="338"/>
      <c r="O37" s="707"/>
      <c r="P37" s="707"/>
      <c r="Q37" s="866"/>
      <c r="T37" s="866"/>
      <c r="U37" s="866"/>
      <c r="V37" s="866"/>
      <c r="W37" s="866"/>
      <c r="Z37" s="866"/>
      <c r="AA37" s="866"/>
      <c r="AB37" s="866"/>
      <c r="AD37" s="494" t="s">
        <v>169</v>
      </c>
      <c r="AE37" s="272" t="s">
        <v>203</v>
      </c>
      <c r="AF37" s="272" t="s">
        <v>204</v>
      </c>
      <c r="AG37" s="493"/>
      <c r="AH37" s="236" t="s">
        <v>169</v>
      </c>
      <c r="AI37" s="272" t="s">
        <v>203</v>
      </c>
      <c r="AJ37" s="273" t="s">
        <v>204</v>
      </c>
      <c r="AL37" s="236" t="s">
        <v>169</v>
      </c>
      <c r="AR37" s="708"/>
      <c r="AS37" s="706"/>
    </row>
    <row r="38" spans="1:46" ht="16.5" customHeight="1" x14ac:dyDescent="0.25">
      <c r="A38" s="642"/>
      <c r="B38" s="642"/>
      <c r="C38" s="341"/>
      <c r="D38" s="341"/>
      <c r="E38" s="341"/>
      <c r="F38" s="1061"/>
      <c r="G38" s="1061"/>
      <c r="H38" s="227"/>
      <c r="I38" s="1270"/>
      <c r="K38" s="301"/>
      <c r="L38" s="301"/>
      <c r="M38" s="301"/>
      <c r="N38" s="227"/>
      <c r="O38" s="709"/>
      <c r="P38" s="709"/>
      <c r="Q38" s="866"/>
      <c r="T38" s="866"/>
      <c r="U38" s="866"/>
      <c r="V38" s="866"/>
      <c r="W38" s="866"/>
      <c r="Z38" s="866"/>
      <c r="AA38" s="866"/>
      <c r="AB38" s="866"/>
      <c r="AD38" s="494" t="s">
        <v>167</v>
      </c>
      <c r="AE38" s="278" t="s">
        <v>136</v>
      </c>
      <c r="AF38" s="278" t="s">
        <v>137</v>
      </c>
      <c r="AG38" s="493"/>
      <c r="AH38" s="236" t="s">
        <v>167</v>
      </c>
      <c r="AI38" s="278" t="s">
        <v>136</v>
      </c>
      <c r="AJ38" s="279" t="s">
        <v>137</v>
      </c>
      <c r="AL38" s="236"/>
    </row>
    <row r="39" spans="1:46" ht="16.5" customHeight="1" x14ac:dyDescent="0.25">
      <c r="A39" s="1269"/>
      <c r="B39" s="1370"/>
      <c r="C39" s="226"/>
      <c r="D39" s="226"/>
      <c r="E39" s="226"/>
      <c r="F39" s="301"/>
      <c r="H39" s="227"/>
      <c r="I39" s="1270"/>
      <c r="K39" s="301"/>
      <c r="L39" s="301"/>
      <c r="M39" s="301"/>
      <c r="N39" s="227"/>
      <c r="O39" s="261"/>
      <c r="P39" s="261"/>
      <c r="Q39" s="866"/>
      <c r="T39" s="866"/>
      <c r="U39" s="866"/>
      <c r="V39" s="866"/>
      <c r="W39" s="866"/>
      <c r="Z39" s="866"/>
      <c r="AA39" s="866"/>
      <c r="AB39" s="866"/>
      <c r="AD39" s="643">
        <f>H39</f>
        <v>0</v>
      </c>
      <c r="AE39" s="837"/>
      <c r="AF39" s="272">
        <f>1-AE39</f>
        <v>1</v>
      </c>
      <c r="AG39" s="493"/>
      <c r="AH39" s="644">
        <f>N39</f>
        <v>0</v>
      </c>
      <c r="AI39" s="837"/>
      <c r="AJ39" s="264">
        <f>1-AI39</f>
        <v>1</v>
      </c>
      <c r="AL39" s="656">
        <f>H39*AE39</f>
        <v>0</v>
      </c>
      <c r="AM39" s="656">
        <f>H39*AF39</f>
        <v>0</v>
      </c>
      <c r="AO39" s="656">
        <f>N39*AI39</f>
        <v>0</v>
      </c>
      <c r="AP39" s="656">
        <f>N39*AJ39</f>
        <v>0</v>
      </c>
      <c r="AR39" s="656">
        <f>AL39+AO39</f>
        <v>0</v>
      </c>
      <c r="AS39" s="656">
        <f>AM39+AP39</f>
        <v>0</v>
      </c>
      <c r="AT39" s="656">
        <f>SUM(AR39:AS39)</f>
        <v>0</v>
      </c>
    </row>
    <row r="40" spans="1:46" ht="16.5" customHeight="1" x14ac:dyDescent="0.25">
      <c r="A40" s="1269"/>
      <c r="B40" s="1370"/>
      <c r="C40" s="226"/>
      <c r="D40" s="226"/>
      <c r="E40" s="226"/>
      <c r="F40" s="301"/>
      <c r="H40" s="227"/>
      <c r="I40" s="1270"/>
      <c r="K40" s="301"/>
      <c r="L40" s="301"/>
      <c r="M40" s="301"/>
      <c r="N40" s="227"/>
      <c r="O40" s="261"/>
      <c r="P40" s="261"/>
      <c r="Q40" s="866"/>
      <c r="T40" s="866"/>
      <c r="U40" s="866"/>
      <c r="V40" s="866"/>
      <c r="W40" s="866"/>
      <c r="Z40" s="866"/>
      <c r="AA40" s="866"/>
      <c r="AB40" s="866"/>
      <c r="AD40" s="643">
        <f>H40</f>
        <v>0</v>
      </c>
      <c r="AE40" s="837"/>
      <c r="AF40" s="272">
        <f t="shared" ref="AF40:AF41" si="24">1-AE40</f>
        <v>1</v>
      </c>
      <c r="AG40" s="493"/>
      <c r="AH40" s="644">
        <f>N40</f>
        <v>0</v>
      </c>
      <c r="AI40" s="837"/>
      <c r="AJ40" s="264">
        <f>1-AI40</f>
        <v>1</v>
      </c>
      <c r="AL40" s="415">
        <f>H40*AE40</f>
        <v>0</v>
      </c>
      <c r="AM40" s="415">
        <f>H40*AF40</f>
        <v>0</v>
      </c>
      <c r="AN40" s="262"/>
      <c r="AO40" s="656">
        <f>N40*AI40</f>
        <v>0</v>
      </c>
      <c r="AP40" s="656">
        <f>N40*AJ40</f>
        <v>0</v>
      </c>
      <c r="AQ40" s="262"/>
      <c r="AR40" s="656">
        <f t="shared" ref="AR40:AS41" si="25">AL40+AO40</f>
        <v>0</v>
      </c>
      <c r="AS40" s="656">
        <f t="shared" si="25"/>
        <v>0</v>
      </c>
      <c r="AT40" s="656">
        <f t="shared" ref="AT40:AT42" si="26">SUM(AR40:AS40)</f>
        <v>0</v>
      </c>
    </row>
    <row r="41" spans="1:46" ht="16.5" customHeight="1" x14ac:dyDescent="0.25">
      <c r="A41" s="1269"/>
      <c r="B41" s="1370"/>
      <c r="C41" s="226"/>
      <c r="D41" s="226"/>
      <c r="E41" s="226"/>
      <c r="F41" s="301"/>
      <c r="H41" s="227"/>
      <c r="I41" s="1270"/>
      <c r="K41" s="301"/>
      <c r="L41" s="1205"/>
      <c r="M41" s="1204" t="s">
        <v>260</v>
      </c>
      <c r="N41" s="382">
        <v>0</v>
      </c>
      <c r="O41" s="261"/>
      <c r="P41" s="261"/>
      <c r="Q41" s="866"/>
      <c r="T41" s="866"/>
      <c r="U41" s="866"/>
      <c r="V41" s="866"/>
      <c r="W41" s="866"/>
      <c r="Z41" s="866"/>
      <c r="AA41" s="866"/>
      <c r="AB41" s="866"/>
      <c r="AD41" s="643">
        <f>H41</f>
        <v>0</v>
      </c>
      <c r="AE41" s="837"/>
      <c r="AF41" s="272">
        <f t="shared" si="24"/>
        <v>1</v>
      </c>
      <c r="AG41" s="493"/>
      <c r="AH41" s="263">
        <v>0</v>
      </c>
      <c r="AI41" s="263">
        <v>0</v>
      </c>
      <c r="AJ41" s="273"/>
      <c r="AL41" s="420">
        <f>H41*AE41</f>
        <v>0</v>
      </c>
      <c r="AM41" s="420">
        <f>H41*AF41</f>
        <v>0</v>
      </c>
      <c r="AO41" s="297">
        <v>0</v>
      </c>
      <c r="AP41" s="297">
        <v>0</v>
      </c>
      <c r="AQ41" s="262"/>
      <c r="AR41" s="420">
        <f t="shared" si="25"/>
        <v>0</v>
      </c>
      <c r="AS41" s="420">
        <f t="shared" si="25"/>
        <v>0</v>
      </c>
      <c r="AT41" s="420">
        <f t="shared" si="26"/>
        <v>0</v>
      </c>
    </row>
    <row r="42" spans="1:46" ht="16.5" customHeight="1" thickBot="1" x14ac:dyDescent="0.3">
      <c r="A42" s="1503" t="s">
        <v>12</v>
      </c>
      <c r="B42" s="1503"/>
      <c r="C42" s="1504"/>
      <c r="D42" s="1504"/>
      <c r="E42" s="1504"/>
      <c r="F42" s="1504"/>
      <c r="G42" s="1504"/>
      <c r="H42" s="1504"/>
      <c r="I42" s="1504"/>
      <c r="J42" s="1504"/>
      <c r="K42" s="1504"/>
      <c r="L42" s="1504"/>
      <c r="M42" s="1505"/>
      <c r="N42" s="384">
        <f>SUM(H38:H41)+SUM(N38:N41)</f>
        <v>0</v>
      </c>
      <c r="O42" s="710"/>
      <c r="P42" s="710"/>
      <c r="Q42" s="866"/>
      <c r="T42" s="866"/>
      <c r="U42" s="866"/>
      <c r="V42" s="866"/>
      <c r="W42" s="866"/>
      <c r="Z42" s="866"/>
      <c r="AA42" s="866"/>
      <c r="AB42" s="866"/>
      <c r="AD42" s="492"/>
      <c r="AE42" s="272"/>
      <c r="AF42" s="272"/>
      <c r="AG42" s="493"/>
      <c r="AH42" s="493"/>
      <c r="AI42" s="272"/>
      <c r="AJ42" s="273"/>
      <c r="AL42" s="656">
        <f t="shared" ref="AL42:AP42" si="27">SUM(AL39:AL41)</f>
        <v>0</v>
      </c>
      <c r="AM42" s="656">
        <f t="shared" si="27"/>
        <v>0</v>
      </c>
      <c r="AN42" s="656"/>
      <c r="AO42" s="656">
        <f t="shared" si="27"/>
        <v>0</v>
      </c>
      <c r="AP42" s="656">
        <f t="shared" si="27"/>
        <v>0</v>
      </c>
      <c r="AQ42" s="656"/>
      <c r="AR42" s="656">
        <f>SUM(AR39:AR41)</f>
        <v>0</v>
      </c>
      <c r="AS42" s="656">
        <f>SUM(AS39:AS41)</f>
        <v>0</v>
      </c>
      <c r="AT42" s="706">
        <f t="shared" si="26"/>
        <v>0</v>
      </c>
    </row>
    <row r="43" spans="1:46" ht="16.5" customHeight="1" x14ac:dyDescent="0.25">
      <c r="A43" s="1187" t="s">
        <v>15</v>
      </c>
      <c r="B43" s="1187"/>
      <c r="C43" s="226"/>
      <c r="D43" s="226"/>
      <c r="E43" s="226"/>
      <c r="F43" s="301"/>
      <c r="J43" s="301"/>
      <c r="K43" s="346"/>
      <c r="L43" s="301"/>
      <c r="M43" s="301"/>
      <c r="N43" s="338"/>
      <c r="O43" s="707"/>
      <c r="P43" s="707"/>
      <c r="Q43" s="866"/>
      <c r="T43" s="866"/>
      <c r="U43" s="866"/>
      <c r="V43" s="866"/>
      <c r="W43" s="866"/>
      <c r="Z43" s="866"/>
      <c r="AA43" s="866"/>
      <c r="AB43" s="866"/>
      <c r="AD43" s="494" t="s">
        <v>34</v>
      </c>
      <c r="AE43" s="272" t="s">
        <v>203</v>
      </c>
      <c r="AF43" s="272" t="s">
        <v>204</v>
      </c>
      <c r="AG43" s="493"/>
      <c r="AH43" s="236" t="s">
        <v>34</v>
      </c>
      <c r="AI43" s="272" t="s">
        <v>203</v>
      </c>
      <c r="AJ43" s="273" t="s">
        <v>204</v>
      </c>
      <c r="AL43" s="236" t="s">
        <v>34</v>
      </c>
      <c r="AR43" s="708"/>
      <c r="AS43" s="706"/>
    </row>
    <row r="44" spans="1:46" ht="16.5" customHeight="1" x14ac:dyDescent="0.25">
      <c r="A44" s="1144"/>
      <c r="B44" s="1370"/>
      <c r="C44" s="1060"/>
      <c r="D44" s="1287"/>
      <c r="E44" s="1370"/>
      <c r="F44" s="1061"/>
      <c r="G44" s="642"/>
      <c r="H44" s="227"/>
      <c r="I44" s="1270"/>
      <c r="K44" s="301"/>
      <c r="L44" s="301"/>
      <c r="M44" s="301"/>
      <c r="N44" s="227"/>
      <c r="O44" s="709"/>
      <c r="P44" s="709"/>
      <c r="Q44" s="866"/>
      <c r="T44" s="866"/>
      <c r="U44" s="866"/>
      <c r="V44" s="866"/>
      <c r="W44" s="866"/>
      <c r="Z44" s="866"/>
      <c r="AA44" s="866"/>
      <c r="AB44" s="866"/>
      <c r="AD44" s="494" t="s">
        <v>167</v>
      </c>
      <c r="AE44" s="278" t="s">
        <v>136</v>
      </c>
      <c r="AF44" s="278" t="s">
        <v>137</v>
      </c>
      <c r="AG44" s="493"/>
      <c r="AH44" s="236" t="s">
        <v>167</v>
      </c>
      <c r="AI44" s="278" t="s">
        <v>136</v>
      </c>
      <c r="AJ44" s="279" t="s">
        <v>137</v>
      </c>
    </row>
    <row r="45" spans="1:46" ht="16.5" customHeight="1" x14ac:dyDescent="0.25">
      <c r="A45" s="602"/>
      <c r="B45" s="1370"/>
      <c r="C45" s="226"/>
      <c r="D45" s="226"/>
      <c r="E45" s="226"/>
      <c r="F45" s="301"/>
      <c r="H45" s="227"/>
      <c r="I45" s="1270"/>
      <c r="K45" s="301"/>
      <c r="L45" s="1205"/>
      <c r="M45" s="1204" t="s">
        <v>261</v>
      </c>
      <c r="N45" s="382">
        <v>0</v>
      </c>
      <c r="O45" s="261"/>
      <c r="P45" s="261"/>
      <c r="Q45" s="866"/>
      <c r="T45" s="866"/>
      <c r="U45" s="866"/>
      <c r="V45" s="866"/>
      <c r="W45" s="866"/>
      <c r="Z45" s="866"/>
      <c r="AA45" s="866"/>
      <c r="AB45" s="866"/>
      <c r="AD45" s="643">
        <f>H45</f>
        <v>0</v>
      </c>
      <c r="AE45" s="837"/>
      <c r="AF45" s="495">
        <f>1-AE45</f>
        <v>1</v>
      </c>
      <c r="AG45" s="493"/>
      <c r="AH45" s="263">
        <v>0</v>
      </c>
      <c r="AI45" s="263">
        <v>0</v>
      </c>
      <c r="AJ45" s="273"/>
      <c r="AL45" s="420">
        <f>H45*AE45</f>
        <v>0</v>
      </c>
      <c r="AM45" s="420">
        <f>H45*AF45</f>
        <v>0</v>
      </c>
      <c r="AO45" s="297">
        <v>0</v>
      </c>
      <c r="AP45" s="297">
        <v>0</v>
      </c>
      <c r="AR45" s="420">
        <f>AL45+AO45</f>
        <v>0</v>
      </c>
      <c r="AS45" s="420">
        <f>AM45+AP45</f>
        <v>0</v>
      </c>
      <c r="AT45" s="420">
        <f>SUM(AR45:AS45)</f>
        <v>0</v>
      </c>
    </row>
    <row r="46" spans="1:46" ht="16.5" customHeight="1" thickBot="1" x14ac:dyDescent="0.3">
      <c r="A46" s="1202" t="s">
        <v>16</v>
      </c>
      <c r="B46" s="1367"/>
      <c r="C46" s="1142"/>
      <c r="D46" s="1142"/>
      <c r="E46" s="1142"/>
      <c r="F46" s="421"/>
      <c r="G46" s="421"/>
      <c r="H46" s="421"/>
      <c r="I46" s="301"/>
      <c r="K46" s="421"/>
      <c r="L46" s="421"/>
      <c r="M46" s="1168"/>
      <c r="N46" s="383">
        <f>SUM(H44:H45)+ SUM(N44:N45)</f>
        <v>0</v>
      </c>
      <c r="O46" s="710"/>
      <c r="P46" s="710"/>
      <c r="Q46" s="866"/>
      <c r="T46" s="866"/>
      <c r="U46" s="866"/>
      <c r="V46" s="866"/>
      <c r="W46" s="866"/>
      <c r="Z46" s="866"/>
      <c r="AA46" s="866"/>
      <c r="AB46" s="866"/>
      <c r="AD46" s="492"/>
      <c r="AE46" s="272"/>
      <c r="AF46" s="272"/>
      <c r="AG46" s="493"/>
      <c r="AH46" s="493"/>
      <c r="AI46" s="272"/>
      <c r="AJ46" s="273"/>
      <c r="AL46" s="656">
        <f>SUM(AL45:AL45)</f>
        <v>0</v>
      </c>
      <c r="AM46" s="656">
        <f>SUM(AM45:AM45)</f>
        <v>0</v>
      </c>
      <c r="AO46" s="656" t="e">
        <f>#REF!+AO45</f>
        <v>#REF!</v>
      </c>
      <c r="AP46" s="656" t="e">
        <f>#REF!+AP45</f>
        <v>#REF!</v>
      </c>
      <c r="AR46" s="656">
        <f>SUM(AR45:AR45)</f>
        <v>0</v>
      </c>
      <c r="AS46" s="656">
        <f>SUM(AS45:AS45)</f>
        <v>0</v>
      </c>
      <c r="AT46" s="706">
        <f>SUM(AR46:AS46)</f>
        <v>0</v>
      </c>
    </row>
    <row r="47" spans="1:46" ht="16.5" customHeight="1" x14ac:dyDescent="0.25">
      <c r="A47" s="1194" t="s">
        <v>29</v>
      </c>
      <c r="B47" s="1194"/>
      <c r="C47" s="226"/>
      <c r="D47" s="226"/>
      <c r="E47" s="226"/>
      <c r="F47" s="301"/>
      <c r="G47" s="301"/>
      <c r="H47" s="301"/>
      <c r="I47" s="301"/>
      <c r="K47" s="301"/>
      <c r="L47" s="301"/>
      <c r="M47" s="301"/>
      <c r="N47" s="338"/>
      <c r="O47" s="707"/>
      <c r="P47" s="707"/>
      <c r="Q47" s="866"/>
      <c r="T47" s="866"/>
      <c r="U47" s="866"/>
      <c r="V47" s="866"/>
      <c r="W47" s="866"/>
      <c r="Z47" s="866"/>
      <c r="AA47" s="866"/>
      <c r="AB47" s="866"/>
      <c r="AD47" s="492"/>
      <c r="AE47" s="272"/>
      <c r="AF47" s="272"/>
      <c r="AG47" s="493"/>
      <c r="AH47" s="493"/>
      <c r="AI47" s="272"/>
      <c r="AJ47" s="273"/>
      <c r="AR47" s="708"/>
      <c r="AS47" s="706"/>
    </row>
    <row r="48" spans="1:46" ht="16.5" customHeight="1" x14ac:dyDescent="0.25">
      <c r="C48" s="1066"/>
      <c r="D48" s="1066"/>
      <c r="E48" s="1066"/>
      <c r="F48" s="1061"/>
      <c r="G48" s="1061"/>
      <c r="H48" s="227"/>
      <c r="I48" s="1270"/>
      <c r="K48" s="349"/>
      <c r="L48" s="301"/>
      <c r="M48" s="301"/>
      <c r="N48" s="385"/>
      <c r="O48" s="709"/>
      <c r="P48" s="709"/>
      <c r="Q48" s="866"/>
      <c r="T48" s="866"/>
      <c r="U48" s="866"/>
      <c r="V48" s="866"/>
      <c r="W48" s="866"/>
      <c r="Z48" s="866"/>
      <c r="AA48" s="866"/>
      <c r="AB48" s="866"/>
      <c r="AD48" s="492"/>
      <c r="AE48" s="272"/>
      <c r="AF48" s="272"/>
      <c r="AG48" s="493"/>
      <c r="AH48" s="493"/>
      <c r="AI48" s="272"/>
      <c r="AJ48" s="273"/>
    </row>
    <row r="49" spans="1:46" ht="16.5" customHeight="1" x14ac:dyDescent="0.25">
      <c r="A49" s="602"/>
      <c r="B49" s="1370"/>
      <c r="C49" s="348"/>
      <c r="D49" s="348"/>
      <c r="E49" s="348"/>
      <c r="F49" s="349"/>
      <c r="G49" s="350"/>
      <c r="H49" s="227"/>
      <c r="I49" s="1270"/>
      <c r="K49" s="349"/>
      <c r="L49" s="301"/>
      <c r="M49" s="301"/>
      <c r="N49" s="385"/>
      <c r="O49" s="711"/>
      <c r="P49" s="711"/>
      <c r="Q49" s="866"/>
      <c r="T49" s="246"/>
      <c r="U49" s="246"/>
      <c r="V49" s="246"/>
      <c r="W49" s="246"/>
      <c r="X49" s="246"/>
      <c r="Y49" s="246"/>
      <c r="Z49" s="246"/>
      <c r="AA49" s="246"/>
      <c r="AB49" s="246"/>
      <c r="AC49" s="246"/>
      <c r="AD49" s="271"/>
      <c r="AE49" s="259"/>
      <c r="AF49" s="259"/>
      <c r="AG49" s="496"/>
      <c r="AH49" s="496"/>
      <c r="AI49" s="259"/>
      <c r="AJ49" s="497"/>
    </row>
    <row r="50" spans="1:46" ht="16.5" customHeight="1" x14ac:dyDescent="0.25">
      <c r="A50" s="602"/>
      <c r="B50" s="1370"/>
      <c r="C50" s="348"/>
      <c r="D50" s="348"/>
      <c r="E50" s="348"/>
      <c r="F50" s="349"/>
      <c r="G50" s="350"/>
      <c r="H50" s="227"/>
      <c r="I50" s="1270"/>
      <c r="K50" s="349"/>
      <c r="L50" s="1205"/>
      <c r="M50" s="1204" t="s">
        <v>262</v>
      </c>
      <c r="N50" s="382">
        <v>0</v>
      </c>
      <c r="O50" s="261"/>
      <c r="P50" s="261"/>
      <c r="Q50" s="866"/>
      <c r="T50" s="246"/>
      <c r="U50" s="246"/>
      <c r="V50" s="246"/>
      <c r="W50" s="246"/>
      <c r="X50" s="246"/>
      <c r="Y50" s="246"/>
      <c r="Z50" s="246"/>
      <c r="AA50" s="246"/>
      <c r="AB50" s="246"/>
      <c r="AC50" s="246"/>
      <c r="AD50" s="271"/>
      <c r="AE50" s="259"/>
      <c r="AF50" s="259"/>
      <c r="AG50" s="496"/>
      <c r="AH50" s="496"/>
      <c r="AI50" s="272" t="s">
        <v>203</v>
      </c>
      <c r="AJ50" s="273" t="s">
        <v>204</v>
      </c>
    </row>
    <row r="51" spans="1:46" ht="16.5" customHeight="1" thickBot="1" x14ac:dyDescent="0.35">
      <c r="A51" s="1216" t="s">
        <v>30</v>
      </c>
      <c r="B51" s="1216"/>
      <c r="C51" s="1161"/>
      <c r="D51" s="1161"/>
      <c r="E51" s="1161"/>
      <c r="F51" s="1161"/>
      <c r="G51" s="1161"/>
      <c r="H51" s="1161"/>
      <c r="I51" s="1161"/>
      <c r="J51" s="1161"/>
      <c r="K51" s="1161"/>
      <c r="L51" s="1161"/>
      <c r="M51" s="1167"/>
      <c r="N51" s="386">
        <f>SUM(H48:H50)+SUM(N48:N50)</f>
        <v>0</v>
      </c>
      <c r="O51" s="712"/>
      <c r="P51" s="712"/>
      <c r="Q51" s="425" t="s">
        <v>45</v>
      </c>
      <c r="R51" s="1067"/>
      <c r="T51" s="866"/>
      <c r="U51" s="866"/>
      <c r="V51" s="866"/>
      <c r="W51" s="866"/>
      <c r="Z51" s="866"/>
      <c r="AA51" s="866"/>
      <c r="AB51" s="866"/>
      <c r="AD51" s="271"/>
      <c r="AE51" s="276"/>
      <c r="AF51" s="276"/>
      <c r="AG51" s="262"/>
      <c r="AH51" s="262"/>
      <c r="AI51" s="278" t="s">
        <v>136</v>
      </c>
      <c r="AJ51" s="279" t="s">
        <v>137</v>
      </c>
    </row>
    <row r="52" spans="1:46" ht="16.5" customHeight="1" x14ac:dyDescent="0.25">
      <c r="A52" s="1194" t="s">
        <v>68</v>
      </c>
      <c r="B52" s="1194"/>
      <c r="C52" s="226"/>
      <c r="D52" s="226"/>
      <c r="E52" s="226"/>
      <c r="F52" s="350"/>
      <c r="G52" s="350"/>
      <c r="H52" s="350"/>
      <c r="I52" s="350"/>
      <c r="J52" s="350"/>
      <c r="K52" s="226"/>
      <c r="L52" s="351" t="s">
        <v>72</v>
      </c>
      <c r="M52" s="351" t="s">
        <v>73</v>
      </c>
      <c r="N52" s="338"/>
      <c r="O52" s="707"/>
      <c r="P52" s="707"/>
      <c r="Q52" s="866"/>
      <c r="T52" s="866"/>
      <c r="U52" s="866"/>
      <c r="V52" s="866"/>
      <c r="W52" s="866"/>
      <c r="Z52" s="866"/>
      <c r="AA52" s="866"/>
      <c r="AB52" s="866"/>
      <c r="AD52" s="1467"/>
      <c r="AE52" s="1468"/>
      <c r="AF52" s="498"/>
      <c r="AG52" s="262"/>
      <c r="AH52" s="1465" t="s">
        <v>160</v>
      </c>
      <c r="AI52" s="1465"/>
      <c r="AJ52" s="1466"/>
    </row>
    <row r="53" spans="1:46" ht="16.5" customHeight="1" x14ac:dyDescent="0.25">
      <c r="A53" s="642"/>
      <c r="B53" s="642"/>
      <c r="C53" s="226"/>
      <c r="D53" s="226"/>
      <c r="E53" s="226"/>
      <c r="F53" s="301"/>
      <c r="G53" s="301"/>
      <c r="H53" s="301"/>
      <c r="I53" s="301"/>
      <c r="J53" s="301"/>
      <c r="K53" s="262"/>
      <c r="L53" s="352"/>
      <c r="M53" s="352"/>
      <c r="N53" s="513">
        <f t="shared" ref="N53:N58" si="28">L53+M53</f>
        <v>0</v>
      </c>
      <c r="O53" s="709"/>
      <c r="P53" s="709"/>
      <c r="Q53" s="866"/>
      <c r="T53" s="866"/>
      <c r="U53" s="866"/>
      <c r="V53" s="866"/>
      <c r="W53" s="866"/>
      <c r="Z53" s="866"/>
      <c r="AA53" s="866"/>
      <c r="AB53" s="866"/>
      <c r="AD53" s="271"/>
      <c r="AE53" s="259"/>
      <c r="AF53" s="259"/>
      <c r="AG53" s="493"/>
      <c r="AH53" s="493"/>
      <c r="AI53" s="499" t="s">
        <v>171</v>
      </c>
      <c r="AJ53" s="500"/>
      <c r="AK53" s="419"/>
      <c r="AM53" s="419"/>
      <c r="AO53" s="499" t="s">
        <v>171</v>
      </c>
      <c r="AP53" s="419"/>
      <c r="AR53" s="419"/>
      <c r="AS53" s="419"/>
      <c r="AT53" s="419"/>
    </row>
    <row r="54" spans="1:46" ht="16.5" customHeight="1" x14ac:dyDescent="0.25">
      <c r="A54" s="1269"/>
      <c r="B54" s="1370"/>
      <c r="C54" s="226"/>
      <c r="D54" s="226"/>
      <c r="E54" s="226"/>
      <c r="F54" s="301"/>
      <c r="G54" s="301"/>
      <c r="H54" s="301"/>
      <c r="I54" s="301"/>
      <c r="J54" s="301"/>
      <c r="K54" s="262"/>
      <c r="L54" s="352"/>
      <c r="M54" s="352"/>
      <c r="N54" s="513">
        <f t="shared" si="28"/>
        <v>0</v>
      </c>
      <c r="O54" s="261"/>
      <c r="P54" s="261"/>
      <c r="Q54" s="866"/>
      <c r="T54" s="866"/>
      <c r="U54" s="866"/>
      <c r="V54" s="866"/>
      <c r="W54" s="866"/>
      <c r="Z54" s="866"/>
      <c r="AA54" s="866"/>
      <c r="AB54" s="866"/>
      <c r="AD54" s="492"/>
      <c r="AE54" s="272"/>
      <c r="AF54" s="259"/>
      <c r="AG54" s="493"/>
      <c r="AH54" s="646">
        <f>N184</f>
        <v>0</v>
      </c>
      <c r="AI54" s="837"/>
      <c r="AJ54" s="264">
        <f>1-AI54</f>
        <v>1</v>
      </c>
      <c r="AL54" s="656"/>
      <c r="AM54" s="656"/>
      <c r="AO54" s="656">
        <f>N184*AI54</f>
        <v>0</v>
      </c>
      <c r="AP54" s="656">
        <f>N184*AJ54</f>
        <v>0</v>
      </c>
      <c r="AR54" s="656">
        <f>AL54+AO54</f>
        <v>0</v>
      </c>
      <c r="AS54" s="656">
        <f>AM54+AP54</f>
        <v>0</v>
      </c>
      <c r="AT54" s="706">
        <f>AR54+AS54</f>
        <v>0</v>
      </c>
    </row>
    <row r="55" spans="1:46" ht="16.5" customHeight="1" x14ac:dyDescent="0.25">
      <c r="A55" s="1269"/>
      <c r="B55" s="1370"/>
      <c r="C55" s="226"/>
      <c r="D55" s="226"/>
      <c r="E55" s="226"/>
      <c r="F55" s="301"/>
      <c r="G55" s="301"/>
      <c r="H55" s="301"/>
      <c r="I55" s="301"/>
      <c r="J55" s="301"/>
      <c r="K55" s="262"/>
      <c r="L55" s="352"/>
      <c r="M55" s="352"/>
      <c r="N55" s="513">
        <f t="shared" si="28"/>
        <v>0</v>
      </c>
      <c r="O55" s="261"/>
      <c r="P55" s="261"/>
      <c r="Q55" s="866"/>
      <c r="T55" s="866"/>
      <c r="U55" s="866"/>
      <c r="V55" s="866"/>
      <c r="W55" s="866"/>
      <c r="Z55" s="866"/>
      <c r="AA55" s="866"/>
      <c r="AB55" s="866"/>
      <c r="AD55" s="492"/>
      <c r="AE55" s="272"/>
      <c r="AF55" s="259"/>
      <c r="AG55" s="493"/>
      <c r="AH55" s="259"/>
      <c r="AI55" s="259"/>
      <c r="AJ55" s="273"/>
    </row>
    <row r="56" spans="1:46" ht="16.5" customHeight="1" x14ac:dyDescent="0.25">
      <c r="A56" s="1269"/>
      <c r="B56" s="1370"/>
      <c r="C56" s="226"/>
      <c r="D56" s="226"/>
      <c r="E56" s="226"/>
      <c r="F56" s="301"/>
      <c r="G56" s="301"/>
      <c r="H56" s="301"/>
      <c r="I56" s="301"/>
      <c r="J56" s="301"/>
      <c r="K56" s="262"/>
      <c r="L56" s="352"/>
      <c r="M56" s="352"/>
      <c r="N56" s="513">
        <f t="shared" si="28"/>
        <v>0</v>
      </c>
      <c r="O56" s="261"/>
      <c r="P56" s="261"/>
      <c r="Q56" s="866"/>
      <c r="T56" s="866"/>
      <c r="U56" s="866"/>
      <c r="V56" s="866"/>
      <c r="W56" s="866"/>
      <c r="Z56" s="866"/>
      <c r="AA56" s="866"/>
      <c r="AB56" s="866"/>
      <c r="AD56" s="492"/>
      <c r="AE56" s="272"/>
      <c r="AF56" s="259"/>
      <c r="AG56" s="493"/>
      <c r="AH56" s="259"/>
      <c r="AI56" s="272" t="s">
        <v>203</v>
      </c>
      <c r="AJ56" s="273" t="s">
        <v>204</v>
      </c>
    </row>
    <row r="57" spans="1:46" ht="16.5" customHeight="1" x14ac:dyDescent="0.25">
      <c r="A57" s="1195" t="s">
        <v>175</v>
      </c>
      <c r="B57" s="1195"/>
      <c r="C57" s="354"/>
      <c r="D57" s="354"/>
      <c r="E57" s="354"/>
      <c r="F57" s="355"/>
      <c r="G57" s="355"/>
      <c r="H57" s="355"/>
      <c r="I57" s="355"/>
      <c r="J57" s="355"/>
      <c r="K57" s="356"/>
      <c r="L57" s="357"/>
      <c r="M57" s="997"/>
      <c r="N57" s="513">
        <f t="shared" si="28"/>
        <v>0</v>
      </c>
      <c r="O57" s="261"/>
      <c r="P57" s="261"/>
      <c r="Q57" s="866"/>
      <c r="T57" s="866"/>
      <c r="U57" s="866"/>
      <c r="V57" s="866"/>
      <c r="W57" s="866"/>
      <c r="Z57" s="866"/>
      <c r="AA57" s="866"/>
      <c r="AB57" s="866"/>
      <c r="AD57" s="492"/>
      <c r="AE57" s="272"/>
      <c r="AF57" s="259"/>
      <c r="AG57" s="493"/>
      <c r="AH57" s="502"/>
      <c r="AI57" s="502" t="s">
        <v>172</v>
      </c>
      <c r="AJ57" s="273"/>
      <c r="AO57" s="502" t="s">
        <v>172</v>
      </c>
    </row>
    <row r="58" spans="1:46" ht="17.25" customHeight="1" x14ac:dyDescent="0.25">
      <c r="A58" s="293"/>
      <c r="B58" s="293"/>
      <c r="C58" s="294"/>
      <c r="D58" s="294"/>
      <c r="E58" s="294"/>
      <c r="F58" s="295"/>
      <c r="G58" s="295"/>
      <c r="H58" s="295"/>
      <c r="I58" s="295"/>
      <c r="J58" s="295"/>
      <c r="K58" s="1204" t="s">
        <v>224</v>
      </c>
      <c r="L58" s="297">
        <v>0</v>
      </c>
      <c r="M58" s="297">
        <v>0</v>
      </c>
      <c r="N58" s="515">
        <f t="shared" si="28"/>
        <v>0</v>
      </c>
      <c r="O58" s="261"/>
      <c r="P58" s="261"/>
      <c r="Q58" s="866"/>
      <c r="T58" s="866"/>
      <c r="U58" s="866"/>
      <c r="V58" s="866"/>
      <c r="W58" s="866"/>
      <c r="Z58" s="866"/>
      <c r="AA58" s="866"/>
      <c r="AB58" s="866"/>
      <c r="AD58" s="492"/>
      <c r="AE58" s="272"/>
      <c r="AF58" s="259"/>
      <c r="AG58" s="493"/>
      <c r="AH58" s="647">
        <f>N128</f>
        <v>0</v>
      </c>
      <c r="AI58" s="837"/>
      <c r="AJ58" s="264">
        <f>1-AI58</f>
        <v>1</v>
      </c>
      <c r="AO58" s="713">
        <f>N128*AI58</f>
        <v>0</v>
      </c>
      <c r="AP58" s="230">
        <f>N128*AJ58</f>
        <v>0</v>
      </c>
      <c r="AR58" s="656">
        <f>AL58+AO58</f>
        <v>0</v>
      </c>
      <c r="AS58" s="230">
        <f>AM58+AP58</f>
        <v>0</v>
      </c>
      <c r="AT58" s="706">
        <f>AR58+AS58</f>
        <v>0</v>
      </c>
    </row>
    <row r="59" spans="1:46" ht="16.5" customHeight="1" thickBot="1" x14ac:dyDescent="0.35">
      <c r="A59" s="1210" t="s">
        <v>47</v>
      </c>
      <c r="B59" s="1210"/>
      <c r="C59" s="1169"/>
      <c r="D59" s="1169"/>
      <c r="E59" s="1169"/>
      <c r="F59" s="1169"/>
      <c r="G59" s="1169"/>
      <c r="H59" s="1169"/>
      <c r="I59" s="1169"/>
      <c r="J59" s="1169"/>
      <c r="K59" s="1169"/>
      <c r="L59" s="1175">
        <f>SUM(L53:L58)</f>
        <v>0</v>
      </c>
      <c r="M59" s="299">
        <f>SUM(M53:M58)</f>
        <v>0</v>
      </c>
      <c r="N59" s="388">
        <f>SUM(N53:N58)</f>
        <v>0</v>
      </c>
      <c r="O59" s="705"/>
      <c r="P59" s="705"/>
      <c r="Q59" s="425" t="s">
        <v>140</v>
      </c>
      <c r="R59" s="1067"/>
      <c r="T59" s="866"/>
      <c r="U59" s="866"/>
      <c r="V59" s="866"/>
      <c r="W59" s="866"/>
      <c r="Z59" s="866"/>
      <c r="AA59" s="866"/>
      <c r="AB59" s="866"/>
      <c r="AD59" s="494" t="s">
        <v>170</v>
      </c>
      <c r="AE59" s="272" t="s">
        <v>203</v>
      </c>
      <c r="AF59" s="272" t="s">
        <v>204</v>
      </c>
      <c r="AG59" s="493"/>
      <c r="AH59" s="236" t="s">
        <v>170</v>
      </c>
      <c r="AI59" s="272" t="s">
        <v>203</v>
      </c>
      <c r="AJ59" s="273" t="s">
        <v>204</v>
      </c>
      <c r="AL59" s="419"/>
      <c r="AM59" s="419"/>
      <c r="AO59" s="419"/>
      <c r="AP59" s="419"/>
      <c r="AR59" s="419"/>
      <c r="AS59" s="419"/>
      <c r="AT59" s="419"/>
    </row>
    <row r="60" spans="1:46" ht="16.5" customHeight="1" x14ac:dyDescent="0.25">
      <c r="A60" s="1187" t="s">
        <v>65</v>
      </c>
      <c r="B60" s="1187"/>
      <c r="C60" s="226"/>
      <c r="D60" s="226"/>
      <c r="E60" s="226"/>
      <c r="F60" s="301"/>
      <c r="G60" s="301"/>
      <c r="H60" s="301"/>
      <c r="I60" s="301"/>
      <c r="J60" s="301"/>
      <c r="K60" s="301"/>
      <c r="L60" s="301"/>
      <c r="M60" s="301"/>
      <c r="N60" s="338"/>
      <c r="O60" s="707"/>
      <c r="P60" s="707"/>
      <c r="Q60" s="866"/>
      <c r="T60" s="866"/>
      <c r="U60" s="866"/>
      <c r="V60" s="866"/>
      <c r="W60" s="866"/>
      <c r="Z60" s="866"/>
      <c r="AA60" s="866"/>
      <c r="AB60" s="866"/>
      <c r="AD60" s="274" t="s">
        <v>167</v>
      </c>
      <c r="AE60" s="278" t="s">
        <v>136</v>
      </c>
      <c r="AF60" s="278" t="s">
        <v>137</v>
      </c>
      <c r="AG60" s="493"/>
      <c r="AH60" s="275" t="s">
        <v>167</v>
      </c>
      <c r="AI60" s="278" t="s">
        <v>136</v>
      </c>
      <c r="AJ60" s="278" t="s">
        <v>137</v>
      </c>
      <c r="AL60" s="617" t="s">
        <v>67</v>
      </c>
      <c r="AR60" s="708"/>
      <c r="AS60" s="656"/>
    </row>
    <row r="61" spans="1:46" ht="16.5" customHeight="1" x14ac:dyDescent="0.25">
      <c r="A61" s="642"/>
      <c r="B61" s="642"/>
      <c r="C61" s="1060"/>
      <c r="D61" s="1287"/>
      <c r="E61" s="1370"/>
      <c r="F61" s="1061"/>
      <c r="G61" s="1061"/>
      <c r="H61" s="227"/>
      <c r="K61" s="261"/>
      <c r="L61" s="301"/>
      <c r="M61" s="301"/>
      <c r="N61" s="227"/>
      <c r="O61" s="709"/>
      <c r="P61" s="709"/>
      <c r="Q61" s="866"/>
      <c r="T61" s="866"/>
      <c r="U61" s="866"/>
      <c r="V61" s="866"/>
      <c r="W61" s="866"/>
      <c r="Z61" s="866"/>
      <c r="AA61" s="866"/>
      <c r="AB61" s="866"/>
      <c r="AD61" s="1463" t="s">
        <v>159</v>
      </c>
      <c r="AE61" s="1464"/>
      <c r="AF61" s="501"/>
      <c r="AG61" s="493"/>
      <c r="AH61" s="1465" t="s">
        <v>160</v>
      </c>
      <c r="AI61" s="1465"/>
      <c r="AJ61" s="1466"/>
    </row>
    <row r="62" spans="1:46" ht="16.5" customHeight="1" x14ac:dyDescent="0.25">
      <c r="A62" s="305"/>
      <c r="B62" s="305"/>
      <c r="C62" s="359"/>
      <c r="D62" s="359"/>
      <c r="E62" s="359"/>
      <c r="F62" s="349"/>
      <c r="G62" s="301"/>
      <c r="H62" s="227"/>
      <c r="K62" s="261"/>
      <c r="L62" s="301"/>
      <c r="M62" s="301"/>
      <c r="N62" s="227"/>
      <c r="O62" s="261"/>
      <c r="P62" s="261"/>
      <c r="Q62" s="866"/>
      <c r="T62" s="866"/>
      <c r="U62" s="866"/>
      <c r="V62" s="866"/>
      <c r="W62" s="866"/>
      <c r="Z62" s="866"/>
      <c r="AA62" s="866"/>
      <c r="AB62" s="866"/>
      <c r="AD62" s="643">
        <f>H62</f>
        <v>0</v>
      </c>
      <c r="AE62" s="837"/>
      <c r="AF62" s="495">
        <f>1-AE62</f>
        <v>1</v>
      </c>
      <c r="AG62" s="493"/>
      <c r="AH62" s="644">
        <f>N62</f>
        <v>0</v>
      </c>
      <c r="AI62" s="837"/>
      <c r="AJ62" s="264">
        <f>1-AI62</f>
        <v>1</v>
      </c>
      <c r="AL62" s="656">
        <f>H62*AE62</f>
        <v>0</v>
      </c>
      <c r="AM62" s="656">
        <f>H62*AF62</f>
        <v>0</v>
      </c>
      <c r="AO62" s="656">
        <f t="shared" ref="AO62:AO67" si="29">N62*AI62</f>
        <v>0</v>
      </c>
      <c r="AP62" s="656">
        <f t="shared" ref="AP62:AP67" si="30">N62*AJ62</f>
        <v>0</v>
      </c>
      <c r="AR62" s="656">
        <f>AL62+AO62</f>
        <v>0</v>
      </c>
      <c r="AS62" s="656">
        <f>AM62+AP62</f>
        <v>0</v>
      </c>
      <c r="AT62" s="656">
        <f>SUM(AR62:AS62)</f>
        <v>0</v>
      </c>
    </row>
    <row r="63" spans="1:46" ht="16.5" customHeight="1" x14ac:dyDescent="0.25">
      <c r="A63" s="305"/>
      <c r="B63" s="305"/>
      <c r="C63" s="359"/>
      <c r="D63" s="359"/>
      <c r="E63" s="359"/>
      <c r="F63" s="349"/>
      <c r="G63" s="301"/>
      <c r="H63" s="227"/>
      <c r="K63" s="261"/>
      <c r="L63" s="301"/>
      <c r="M63" s="301"/>
      <c r="N63" s="227"/>
      <c r="O63" s="261"/>
      <c r="P63" s="261"/>
      <c r="Q63" s="866"/>
      <c r="T63" s="866"/>
      <c r="U63" s="866"/>
      <c r="V63" s="866"/>
      <c r="W63" s="866"/>
      <c r="Z63" s="866"/>
      <c r="AA63" s="866"/>
      <c r="AB63" s="866"/>
      <c r="AD63" s="643">
        <f>H63</f>
        <v>0</v>
      </c>
      <c r="AE63" s="837"/>
      <c r="AF63" s="495">
        <f t="shared" ref="AF63:AF66" si="31">1-AE63</f>
        <v>1</v>
      </c>
      <c r="AG63" s="493"/>
      <c r="AH63" s="644">
        <f>N63</f>
        <v>0</v>
      </c>
      <c r="AI63" s="837"/>
      <c r="AJ63" s="264">
        <f t="shared" ref="AJ63:AJ70" si="32">1-AI63</f>
        <v>1</v>
      </c>
      <c r="AL63" s="656">
        <f>H63*AE63</f>
        <v>0</v>
      </c>
      <c r="AM63" s="656">
        <f>H63*AF63</f>
        <v>0</v>
      </c>
      <c r="AO63" s="656">
        <f t="shared" si="29"/>
        <v>0</v>
      </c>
      <c r="AP63" s="656">
        <f t="shared" si="30"/>
        <v>0</v>
      </c>
      <c r="AR63" s="656">
        <f t="shared" ref="AR63:AS70" si="33">AL63+AO63</f>
        <v>0</v>
      </c>
      <c r="AS63" s="656">
        <f t="shared" si="33"/>
        <v>0</v>
      </c>
      <c r="AT63" s="656">
        <f t="shared" ref="AT63:AT74" si="34">SUM(AR63:AS63)</f>
        <v>0</v>
      </c>
    </row>
    <row r="64" spans="1:46" ht="16.5" customHeight="1" x14ac:dyDescent="0.25">
      <c r="A64" s="305"/>
      <c r="B64" s="305"/>
      <c r="C64" s="359"/>
      <c r="D64" s="359"/>
      <c r="E64" s="359"/>
      <c r="F64" s="349"/>
      <c r="G64" s="301"/>
      <c r="H64" s="227"/>
      <c r="K64" s="261"/>
      <c r="L64" s="301"/>
      <c r="M64" s="301"/>
      <c r="N64" s="227"/>
      <c r="O64" s="261"/>
      <c r="P64" s="261"/>
      <c r="Q64" s="866"/>
      <c r="T64" s="866"/>
      <c r="U64" s="866"/>
      <c r="V64" s="866"/>
      <c r="W64" s="866"/>
      <c r="Z64" s="866"/>
      <c r="AA64" s="866"/>
      <c r="AB64" s="866"/>
      <c r="AD64" s="643">
        <f>H64</f>
        <v>0</v>
      </c>
      <c r="AE64" s="837"/>
      <c r="AF64" s="495">
        <f t="shared" si="31"/>
        <v>1</v>
      </c>
      <c r="AG64" s="493"/>
      <c r="AH64" s="644">
        <f>N64</f>
        <v>0</v>
      </c>
      <c r="AI64" s="837"/>
      <c r="AJ64" s="264">
        <f t="shared" si="32"/>
        <v>1</v>
      </c>
      <c r="AL64" s="656">
        <f>H64*AE64</f>
        <v>0</v>
      </c>
      <c r="AM64" s="656">
        <f>H64*AF64</f>
        <v>0</v>
      </c>
      <c r="AO64" s="656">
        <f t="shared" si="29"/>
        <v>0</v>
      </c>
      <c r="AP64" s="656">
        <f t="shared" si="30"/>
        <v>0</v>
      </c>
      <c r="AR64" s="656">
        <f t="shared" si="33"/>
        <v>0</v>
      </c>
      <c r="AS64" s="656">
        <f t="shared" si="33"/>
        <v>0</v>
      </c>
      <c r="AT64" s="656">
        <f t="shared" si="34"/>
        <v>0</v>
      </c>
    </row>
    <row r="65" spans="1:57" ht="16.5" customHeight="1" x14ac:dyDescent="0.25">
      <c r="A65" s="305"/>
      <c r="B65" s="305"/>
      <c r="C65" s="359"/>
      <c r="D65" s="359"/>
      <c r="E65" s="359"/>
      <c r="F65" s="349"/>
      <c r="G65" s="301"/>
      <c r="H65" s="227"/>
      <c r="K65" s="261"/>
      <c r="L65" s="301"/>
      <c r="M65" s="301"/>
      <c r="N65" s="227"/>
      <c r="O65" s="261"/>
      <c r="P65" s="261"/>
      <c r="Q65" s="866"/>
      <c r="T65" s="866"/>
      <c r="U65" s="866"/>
      <c r="V65" s="866"/>
      <c r="W65" s="866"/>
      <c r="Z65" s="866"/>
      <c r="AA65" s="866"/>
      <c r="AB65" s="866"/>
      <c r="AD65" s="643">
        <f>H65</f>
        <v>0</v>
      </c>
      <c r="AE65" s="837"/>
      <c r="AF65" s="495">
        <f t="shared" si="31"/>
        <v>1</v>
      </c>
      <c r="AG65" s="493"/>
      <c r="AH65" s="644">
        <f>N65</f>
        <v>0</v>
      </c>
      <c r="AI65" s="837"/>
      <c r="AJ65" s="264">
        <f t="shared" si="32"/>
        <v>1</v>
      </c>
      <c r="AL65" s="656">
        <f>H65*AE65</f>
        <v>0</v>
      </c>
      <c r="AM65" s="656">
        <f>H65*AF65</f>
        <v>0</v>
      </c>
      <c r="AO65" s="656">
        <f t="shared" si="29"/>
        <v>0</v>
      </c>
      <c r="AP65" s="656">
        <f t="shared" si="30"/>
        <v>0</v>
      </c>
      <c r="AR65" s="656">
        <f t="shared" si="33"/>
        <v>0</v>
      </c>
      <c r="AS65" s="656">
        <f t="shared" si="33"/>
        <v>0</v>
      </c>
      <c r="AT65" s="656">
        <f t="shared" si="34"/>
        <v>0</v>
      </c>
    </row>
    <row r="66" spans="1:57" ht="16.5" customHeight="1" x14ac:dyDescent="0.25">
      <c r="A66" s="305"/>
      <c r="B66" s="305"/>
      <c r="C66" s="359"/>
      <c r="D66" s="359"/>
      <c r="E66" s="359"/>
      <c r="F66" s="349"/>
      <c r="G66" s="301"/>
      <c r="H66" s="227"/>
      <c r="K66" s="261"/>
      <c r="L66" s="301"/>
      <c r="M66" s="301"/>
      <c r="N66" s="227"/>
      <c r="O66" s="261"/>
      <c r="P66" s="261"/>
      <c r="Q66" s="326"/>
      <c r="R66" s="640"/>
      <c r="S66" s="640"/>
      <c r="T66" s="326"/>
      <c r="U66" s="326"/>
      <c r="V66" s="326"/>
      <c r="W66" s="326"/>
      <c r="X66" s="326"/>
      <c r="Y66" s="326"/>
      <c r="Z66" s="326"/>
      <c r="AA66" s="326"/>
      <c r="AB66" s="326"/>
      <c r="AC66" s="326"/>
      <c r="AD66" s="648">
        <f>H66</f>
        <v>0</v>
      </c>
      <c r="AE66" s="837"/>
      <c r="AF66" s="649">
        <f t="shared" si="31"/>
        <v>1</v>
      </c>
      <c r="AG66" s="496"/>
      <c r="AH66" s="644">
        <f>N66</f>
        <v>0</v>
      </c>
      <c r="AI66" s="837"/>
      <c r="AJ66" s="264">
        <f t="shared" si="32"/>
        <v>1</v>
      </c>
      <c r="AL66" s="656">
        <f>H66*AE66</f>
        <v>0</v>
      </c>
      <c r="AM66" s="656">
        <f>H66*AF66</f>
        <v>0</v>
      </c>
      <c r="AO66" s="656">
        <f t="shared" si="29"/>
        <v>0</v>
      </c>
      <c r="AP66" s="656">
        <f t="shared" si="30"/>
        <v>0</v>
      </c>
      <c r="AR66" s="656">
        <f t="shared" si="33"/>
        <v>0</v>
      </c>
      <c r="AS66" s="656">
        <f t="shared" si="33"/>
        <v>0</v>
      </c>
      <c r="AT66" s="656">
        <f t="shared" si="34"/>
        <v>0</v>
      </c>
    </row>
    <row r="67" spans="1:57" s="56" customFormat="1" ht="4.5" customHeight="1" x14ac:dyDescent="0.25">
      <c r="A67" s="360"/>
      <c r="B67" s="360"/>
      <c r="C67" s="361"/>
      <c r="D67" s="361"/>
      <c r="E67" s="361"/>
      <c r="F67" s="362"/>
      <c r="G67" s="363"/>
      <c r="H67" s="363"/>
      <c r="I67" s="363"/>
      <c r="J67" s="363"/>
      <c r="K67" s="363"/>
      <c r="L67" s="364"/>
      <c r="M67" s="365"/>
      <c r="N67" s="389"/>
      <c r="O67" s="261"/>
      <c r="P67" s="261"/>
      <c r="Q67" s="326"/>
      <c r="R67" s="640"/>
      <c r="S67" s="640"/>
      <c r="T67" s="326"/>
      <c r="U67" s="326"/>
      <c r="V67" s="326"/>
      <c r="W67" s="326"/>
      <c r="X67" s="326"/>
      <c r="Y67" s="326"/>
      <c r="Z67" s="326"/>
      <c r="AA67" s="326"/>
      <c r="AB67" s="326"/>
      <c r="AC67" s="326"/>
      <c r="AD67" s="271"/>
      <c r="AE67" s="259"/>
      <c r="AF67" s="259"/>
      <c r="AG67" s="496"/>
      <c r="AH67" s="698"/>
      <c r="AI67" s="503"/>
      <c r="AJ67" s="273"/>
      <c r="AK67" s="325"/>
      <c r="AL67" s="656"/>
      <c r="AM67" s="656"/>
      <c r="AN67" s="325"/>
      <c r="AO67" s="656">
        <f t="shared" si="29"/>
        <v>0</v>
      </c>
      <c r="AP67" s="656">
        <f t="shared" si="30"/>
        <v>0</v>
      </c>
      <c r="AQ67" s="325"/>
      <c r="AR67" s="656">
        <f t="shared" si="33"/>
        <v>0</v>
      </c>
      <c r="AS67" s="656">
        <f t="shared" si="33"/>
        <v>0</v>
      </c>
      <c r="AT67" s="656">
        <f>SUM(AR67:AS67)</f>
        <v>0</v>
      </c>
      <c r="AU67" s="325"/>
      <c r="AV67" s="325"/>
      <c r="AW67" s="325"/>
      <c r="AX67" s="325"/>
      <c r="AY67" s="325"/>
      <c r="AZ67" s="325"/>
      <c r="BA67" s="325"/>
      <c r="BB67" s="325"/>
      <c r="BC67" s="325"/>
      <c r="BD67" s="325"/>
      <c r="BE67" s="325"/>
    </row>
    <row r="68" spans="1:57" ht="16.5" customHeight="1" x14ac:dyDescent="0.25">
      <c r="A68" s="1198" t="s">
        <v>540</v>
      </c>
      <c r="B68" s="1198"/>
      <c r="C68" s="1197"/>
      <c r="D68" s="1197"/>
      <c r="E68" s="1197"/>
      <c r="F68" s="368"/>
      <c r="G68" s="369"/>
      <c r="H68" s="369"/>
      <c r="I68" s="369"/>
      <c r="J68" s="369"/>
      <c r="K68" s="369"/>
      <c r="L68" s="369"/>
      <c r="M68" s="369"/>
      <c r="N68" s="390" t="s">
        <v>433</v>
      </c>
      <c r="O68" s="714"/>
      <c r="P68" s="714"/>
      <c r="Q68" s="326"/>
      <c r="R68" s="640"/>
      <c r="S68" s="640"/>
      <c r="T68" s="326"/>
      <c r="U68" s="326"/>
      <c r="V68" s="326"/>
      <c r="W68" s="326"/>
      <c r="X68" s="326"/>
      <c r="Y68" s="326"/>
      <c r="Z68" s="326"/>
      <c r="AA68" s="326"/>
      <c r="AB68" s="326"/>
      <c r="AC68" s="326"/>
      <c r="AD68" s="271"/>
      <c r="AE68" s="259"/>
      <c r="AF68" s="259"/>
      <c r="AG68" s="246"/>
      <c r="AH68" s="262"/>
      <c r="AI68" s="272"/>
      <c r="AJ68" s="273"/>
      <c r="AL68" s="656"/>
      <c r="AM68" s="656"/>
      <c r="AO68" s="656"/>
      <c r="AP68" s="656"/>
      <c r="AR68" s="656"/>
      <c r="AS68" s="656"/>
      <c r="AT68" s="656">
        <f t="shared" si="34"/>
        <v>0</v>
      </c>
    </row>
    <row r="69" spans="1:57" ht="16.5" customHeight="1" x14ac:dyDescent="0.25">
      <c r="A69" s="370" t="s">
        <v>541</v>
      </c>
      <c r="B69" s="1338"/>
      <c r="C69" s="21" t="str">
        <f>'Federal Grad Student'!A20</f>
        <v xml:space="preserve"> Direct Compensation</v>
      </c>
      <c r="D69" s="21"/>
      <c r="E69" s="21"/>
      <c r="F69" s="349"/>
      <c r="G69" s="301"/>
      <c r="H69" s="301"/>
      <c r="I69" s="301"/>
      <c r="J69" s="301"/>
      <c r="K69" s="261"/>
      <c r="L69" s="301"/>
      <c r="M69" s="301"/>
      <c r="N69" s="391">
        <f>IF($L$186="Yes", 'Federal Grad Student'!C215, 0)</f>
        <v>0</v>
      </c>
      <c r="O69" s="261"/>
      <c r="P69" s="261"/>
      <c r="Q69" s="326"/>
      <c r="T69" s="866"/>
      <c r="U69" s="866"/>
      <c r="V69" s="866"/>
      <c r="W69" s="866"/>
      <c r="Z69" s="866"/>
      <c r="AA69" s="866"/>
      <c r="AB69" s="866"/>
      <c r="AD69" s="492"/>
      <c r="AE69" s="261"/>
      <c r="AF69" s="272"/>
      <c r="AG69" s="262"/>
      <c r="AH69" s="644">
        <f>N69</f>
        <v>0</v>
      </c>
      <c r="AI69" s="504"/>
      <c r="AJ69" s="264">
        <f t="shared" si="32"/>
        <v>1</v>
      </c>
      <c r="AL69" s="656">
        <f>J69*AE69</f>
        <v>0</v>
      </c>
      <c r="AM69" s="656">
        <f>J69*AF69</f>
        <v>0</v>
      </c>
      <c r="AO69" s="656">
        <f>N69*AI69</f>
        <v>0</v>
      </c>
      <c r="AP69" s="656">
        <f>N69*AJ69</f>
        <v>0</v>
      </c>
      <c r="AR69" s="656">
        <f t="shared" si="33"/>
        <v>0</v>
      </c>
      <c r="AS69" s="656">
        <f t="shared" si="33"/>
        <v>0</v>
      </c>
      <c r="AT69" s="656">
        <f t="shared" si="34"/>
        <v>0</v>
      </c>
    </row>
    <row r="70" spans="1:57" ht="16.5" customHeight="1" x14ac:dyDescent="0.25">
      <c r="A70" s="1200" t="s">
        <v>548</v>
      </c>
      <c r="B70" s="1339"/>
      <c r="C70" s="21" t="str">
        <f>'Federal Grad Student'!A21</f>
        <v xml:space="preserve"> Health Insurance</v>
      </c>
      <c r="D70" s="21"/>
      <c r="E70" s="21"/>
      <c r="F70" s="349"/>
      <c r="G70" s="301"/>
      <c r="H70" s="301"/>
      <c r="I70" s="301"/>
      <c r="J70" s="301"/>
      <c r="K70" s="261"/>
      <c r="L70" s="301"/>
      <c r="M70" s="301"/>
      <c r="N70" s="392">
        <f>IF($L$186="Yes", 'Federal Grad Student'!C216, 0)</f>
        <v>0</v>
      </c>
      <c r="O70" s="261"/>
      <c r="P70" s="261"/>
      <c r="Q70" s="326"/>
      <c r="T70" s="866"/>
      <c r="U70" s="866"/>
      <c r="V70" s="866"/>
      <c r="W70" s="866"/>
      <c r="Z70" s="866"/>
      <c r="AA70" s="866"/>
      <c r="AB70" s="866"/>
      <c r="AD70" s="492"/>
      <c r="AE70" s="261"/>
      <c r="AF70" s="272"/>
      <c r="AG70" s="262"/>
      <c r="AH70" s="644">
        <f>N70</f>
        <v>0</v>
      </c>
      <c r="AI70" s="504"/>
      <c r="AJ70" s="264">
        <f t="shared" si="32"/>
        <v>1</v>
      </c>
      <c r="AL70" s="656">
        <f>J70*AE70</f>
        <v>0</v>
      </c>
      <c r="AM70" s="656">
        <f>J70*AF70</f>
        <v>0</v>
      </c>
      <c r="AO70" s="656">
        <f>N70*AI70</f>
        <v>0</v>
      </c>
      <c r="AP70" s="656">
        <f>N70*AJ70</f>
        <v>0</v>
      </c>
      <c r="AR70" s="656">
        <f t="shared" si="33"/>
        <v>0</v>
      </c>
      <c r="AS70" s="656">
        <f t="shared" si="33"/>
        <v>0</v>
      </c>
      <c r="AT70" s="656">
        <f t="shared" si="34"/>
        <v>0</v>
      </c>
    </row>
    <row r="71" spans="1:57" ht="16.5" customHeight="1" x14ac:dyDescent="0.3">
      <c r="A71" s="372" t="s">
        <v>542</v>
      </c>
      <c r="B71" s="1340"/>
      <c r="C71" s="1199" t="str">
        <f>'Federal Grad Student'!A22</f>
        <v xml:space="preserve"> Tuition/Fees</v>
      </c>
      <c r="D71" s="1199"/>
      <c r="E71" s="1199"/>
      <c r="F71" s="374"/>
      <c r="G71" s="375"/>
      <c r="H71" s="375"/>
      <c r="I71" s="375"/>
      <c r="J71" s="375"/>
      <c r="K71" s="358"/>
      <c r="L71" s="375"/>
      <c r="M71" s="375"/>
      <c r="N71" s="393">
        <f>IF($L$186="Yes", 'Federal Grad Student'!C217, 0)</f>
        <v>0</v>
      </c>
      <c r="O71" s="261"/>
      <c r="P71" s="261"/>
      <c r="Q71" s="425" t="s">
        <v>45</v>
      </c>
      <c r="R71" s="1067"/>
      <c r="T71" s="866"/>
      <c r="U71" s="866"/>
      <c r="V71" s="866"/>
      <c r="W71" s="866"/>
      <c r="Z71" s="866"/>
      <c r="AA71" s="866"/>
      <c r="AB71" s="866"/>
      <c r="AD71" s="492"/>
      <c r="AE71" s="261"/>
      <c r="AF71" s="272"/>
      <c r="AG71" s="262"/>
      <c r="AH71" s="262"/>
      <c r="AI71" s="261"/>
      <c r="AJ71" s="273"/>
      <c r="AL71" s="419"/>
      <c r="AM71" s="419"/>
      <c r="AO71" s="420"/>
      <c r="AP71" s="420"/>
      <c r="AR71" s="420"/>
      <c r="AS71" s="420"/>
      <c r="AT71" s="420"/>
    </row>
    <row r="72" spans="1:57" ht="4.5" customHeight="1" x14ac:dyDescent="0.3">
      <c r="A72" s="376"/>
      <c r="B72" s="376"/>
      <c r="C72" s="305"/>
      <c r="D72" s="305"/>
      <c r="E72" s="305"/>
      <c r="F72" s="349"/>
      <c r="G72" s="301"/>
      <c r="H72" s="301"/>
      <c r="I72" s="301"/>
      <c r="J72" s="301"/>
      <c r="K72" s="261"/>
      <c r="L72" s="375"/>
      <c r="M72" s="375"/>
      <c r="N72" s="608"/>
      <c r="O72" s="261"/>
      <c r="P72" s="261"/>
      <c r="Q72" s="425"/>
      <c r="R72" s="1067"/>
      <c r="T72" s="866"/>
      <c r="U72" s="866"/>
      <c r="V72" s="866"/>
      <c r="W72" s="866"/>
      <c r="Z72" s="866"/>
      <c r="AA72" s="866"/>
      <c r="AB72" s="866"/>
      <c r="AD72" s="492"/>
      <c r="AE72" s="261"/>
      <c r="AF72" s="272"/>
      <c r="AG72" s="262"/>
      <c r="AH72" s="262"/>
      <c r="AI72" s="261"/>
      <c r="AJ72" s="273"/>
      <c r="AL72" s="262"/>
      <c r="AM72" s="262"/>
      <c r="AO72" s="718"/>
      <c r="AP72" s="718"/>
      <c r="AR72" s="415"/>
      <c r="AS72" s="415"/>
      <c r="AT72" s="415">
        <f t="shared" si="34"/>
        <v>0</v>
      </c>
    </row>
    <row r="73" spans="1:57" ht="21.75" customHeight="1" x14ac:dyDescent="0.3">
      <c r="A73" s="1201" t="s">
        <v>543</v>
      </c>
      <c r="B73" s="1201"/>
      <c r="C73" s="378"/>
      <c r="D73" s="378"/>
      <c r="E73" s="378"/>
      <c r="F73" s="379"/>
      <c r="G73" s="1169"/>
      <c r="H73" s="352"/>
      <c r="I73" s="379"/>
      <c r="J73" s="379"/>
      <c r="K73" s="1203" t="s">
        <v>539</v>
      </c>
      <c r="L73" s="345"/>
      <c r="M73" s="1204" t="s">
        <v>263</v>
      </c>
      <c r="N73" s="487">
        <v>0</v>
      </c>
      <c r="O73" s="261"/>
      <c r="P73" s="261"/>
      <c r="Q73" s="866"/>
      <c r="T73" s="866"/>
      <c r="U73" s="866"/>
      <c r="V73" s="866"/>
      <c r="W73" s="866"/>
      <c r="Z73" s="866"/>
      <c r="AA73" s="866"/>
      <c r="AB73" s="866"/>
      <c r="AD73" s="505"/>
      <c r="AE73" s="506"/>
      <c r="AF73" s="507"/>
      <c r="AG73" s="508"/>
      <c r="AH73" s="508"/>
      <c r="AI73" s="297">
        <v>0</v>
      </c>
      <c r="AJ73" s="500"/>
      <c r="AO73" s="719">
        <v>0</v>
      </c>
      <c r="AP73" s="719">
        <v>0</v>
      </c>
      <c r="AR73" s="720"/>
      <c r="AS73" s="720"/>
      <c r="AT73" s="415">
        <f t="shared" si="34"/>
        <v>0</v>
      </c>
    </row>
    <row r="74" spans="1:57" ht="16.5" customHeight="1" thickBot="1" x14ac:dyDescent="0.3">
      <c r="A74" s="1196" t="s">
        <v>66</v>
      </c>
      <c r="B74" s="1196"/>
      <c r="C74" s="1169"/>
      <c r="D74" s="1169"/>
      <c r="E74" s="1169"/>
      <c r="F74" s="1169"/>
      <c r="G74" s="1169"/>
      <c r="H74" s="1169"/>
      <c r="I74" s="1169"/>
      <c r="J74" s="1169"/>
      <c r="K74" s="1169"/>
      <c r="L74" s="1169"/>
      <c r="M74" s="1172"/>
      <c r="N74" s="395">
        <f>SUM(H61:H66)+SUM(N61:N66)+SUM(N69:N71)+H73</f>
        <v>0</v>
      </c>
      <c r="O74" s="705"/>
      <c r="P74" s="705"/>
      <c r="Q74" s="713"/>
      <c r="R74" s="1077"/>
      <c r="S74" s="1077"/>
      <c r="T74" s="713"/>
      <c r="U74" s="713"/>
      <c r="V74" s="713"/>
      <c r="W74" s="713"/>
      <c r="X74" s="713"/>
      <c r="Y74" s="713"/>
      <c r="Z74" s="713"/>
      <c r="AA74" s="713"/>
      <c r="AB74" s="713"/>
      <c r="AC74" s="713"/>
      <c r="AD74" s="713"/>
      <c r="AE74" s="713"/>
      <c r="AL74" s="656">
        <f>SUM(AL62:AL71)</f>
        <v>0</v>
      </c>
      <c r="AM74" s="656">
        <f>SUM(AM62:AM71)</f>
        <v>0</v>
      </c>
      <c r="AO74" s="656">
        <f>SUM(AO62:AO71)</f>
        <v>0</v>
      </c>
      <c r="AP74" s="656">
        <f>SUM(AP62:AP71)</f>
        <v>0</v>
      </c>
      <c r="AR74" s="656">
        <f>SUM(AR62:AR71)</f>
        <v>0</v>
      </c>
      <c r="AS74" s="656">
        <f>SUM(AS62:AS71)</f>
        <v>0</v>
      </c>
      <c r="AT74" s="722">
        <f t="shared" si="34"/>
        <v>0</v>
      </c>
    </row>
    <row r="75" spans="1:57" ht="16.5" customHeight="1" x14ac:dyDescent="0.25">
      <c r="A75" s="602"/>
      <c r="B75" s="1370"/>
      <c r="C75" s="226"/>
      <c r="D75" s="226"/>
      <c r="E75" s="226"/>
      <c r="F75" s="301"/>
      <c r="G75" s="301"/>
      <c r="H75" s="301"/>
      <c r="I75" s="301"/>
      <c r="J75" s="301"/>
      <c r="K75" s="301"/>
      <c r="L75" s="301"/>
      <c r="M75" s="301"/>
      <c r="N75" s="396"/>
      <c r="O75" s="707"/>
      <c r="P75" s="707"/>
      <c r="Q75" s="713"/>
      <c r="R75" s="1077"/>
      <c r="S75" s="1077"/>
      <c r="T75" s="713"/>
      <c r="U75" s="713"/>
      <c r="V75" s="713"/>
      <c r="W75" s="713"/>
      <c r="X75" s="713"/>
      <c r="Y75" s="713"/>
      <c r="Z75" s="713"/>
      <c r="AA75" s="713"/>
      <c r="AB75" s="713"/>
      <c r="AC75" s="713"/>
      <c r="AD75" s="713"/>
      <c r="AE75" s="713"/>
      <c r="AR75" s="708"/>
      <c r="AS75" s="706"/>
    </row>
    <row r="76" spans="1:57" ht="16.5" customHeight="1" x14ac:dyDescent="0.25">
      <c r="A76" s="1187" t="s">
        <v>74</v>
      </c>
      <c r="B76" s="1187"/>
      <c r="C76" s="429"/>
      <c r="D76" s="429"/>
      <c r="E76" s="429"/>
      <c r="F76" s="301"/>
      <c r="G76" s="301"/>
      <c r="H76" s="301"/>
      <c r="I76" s="301"/>
      <c r="J76" s="301"/>
      <c r="K76" s="301"/>
      <c r="L76" s="301"/>
      <c r="M76" s="301"/>
      <c r="N76" s="397">
        <f>SUM(N26,N31,N36,N42,N46,N51,N59,N74)</f>
        <v>0</v>
      </c>
      <c r="O76" s="705"/>
      <c r="P76" s="705"/>
      <c r="Q76" s="713"/>
      <c r="R76" s="1077"/>
      <c r="S76" s="1077"/>
      <c r="T76" s="713"/>
      <c r="U76" s="713"/>
      <c r="V76" s="713"/>
      <c r="W76" s="713"/>
      <c r="X76" s="713"/>
      <c r="Y76" s="713"/>
      <c r="Z76" s="713"/>
      <c r="AA76" s="713"/>
      <c r="AB76" s="713"/>
      <c r="AC76" s="713"/>
      <c r="AD76" s="713"/>
      <c r="AE76" s="713"/>
      <c r="AP76" s="708" t="s">
        <v>165</v>
      </c>
      <c r="AR76" s="706">
        <f>AR26+AR36+AR42+AR46+AR54+AR58+AR74</f>
        <v>0</v>
      </c>
      <c r="AS76" s="706">
        <f>AS26+AS36+AS42+AS46+AS54+AS58+AS74</f>
        <v>0</v>
      </c>
      <c r="AT76" s="706">
        <f>AT26+AT36+AT42+AT46+AT54+AT58+AT74</f>
        <v>0</v>
      </c>
      <c r="AU76" s="509">
        <f>B96</f>
        <v>0</v>
      </c>
      <c r="AV76" s="509">
        <f>AU76-AT76</f>
        <v>0</v>
      </c>
    </row>
    <row r="77" spans="1:57" ht="16.5" customHeight="1" x14ac:dyDescent="0.25">
      <c r="A77" s="428"/>
      <c r="B77" s="428"/>
      <c r="C77" s="429"/>
      <c r="D77" s="429"/>
      <c r="E77" s="429"/>
      <c r="F77" s="301"/>
      <c r="G77" s="301"/>
      <c r="H77" s="301"/>
      <c r="I77" s="301"/>
      <c r="J77" s="301"/>
      <c r="K77" s="301"/>
      <c r="L77" s="301"/>
      <c r="M77" s="301"/>
      <c r="N77" s="338"/>
      <c r="O77" s="707"/>
      <c r="P77" s="707"/>
      <c r="Q77" s="713"/>
      <c r="R77" s="1077"/>
      <c r="S77" s="1077"/>
      <c r="T77" s="713"/>
      <c r="U77" s="713"/>
      <c r="V77" s="713"/>
      <c r="W77" s="713"/>
      <c r="X77" s="713"/>
      <c r="Y77" s="713"/>
      <c r="Z77" s="713"/>
      <c r="AA77" s="713"/>
      <c r="AB77" s="713"/>
      <c r="AC77" s="713"/>
      <c r="AD77" s="713"/>
      <c r="AE77" s="713"/>
      <c r="AP77" s="230" t="s">
        <v>179</v>
      </c>
      <c r="AR77" s="482">
        <f>L85</f>
        <v>0</v>
      </c>
      <c r="AS77" s="482">
        <f>L89</f>
        <v>0</v>
      </c>
      <c r="AT77" s="723" t="e">
        <f>(AR77*AR79)+(AS77*AS79)</f>
        <v>#DIV/0!</v>
      </c>
    </row>
    <row r="78" spans="1:57" ht="16.5" customHeight="1" x14ac:dyDescent="0.25">
      <c r="A78" s="1187" t="s">
        <v>23</v>
      </c>
      <c r="B78" s="1187"/>
      <c r="C78" s="342"/>
      <c r="D78" s="342"/>
      <c r="E78" s="342"/>
      <c r="F78" s="301"/>
      <c r="G78" s="301"/>
      <c r="H78" s="301"/>
      <c r="I78" s="301"/>
      <c r="J78" s="301"/>
      <c r="K78" s="301"/>
      <c r="L78" s="301"/>
      <c r="M78" s="301"/>
      <c r="N78" s="759"/>
      <c r="O78" s="707"/>
      <c r="P78" s="707"/>
      <c r="Q78" s="713"/>
      <c r="R78" s="1077"/>
      <c r="S78" s="1077"/>
      <c r="T78" s="713"/>
      <c r="U78" s="713"/>
      <c r="V78" s="713"/>
      <c r="W78" s="713"/>
      <c r="X78" s="713"/>
      <c r="Y78" s="713"/>
      <c r="Z78" s="713"/>
      <c r="AA78" s="713"/>
      <c r="AB78" s="713"/>
      <c r="AC78" s="713"/>
      <c r="AD78" s="713"/>
      <c r="AE78" s="713"/>
      <c r="AP78" s="708" t="s">
        <v>181</v>
      </c>
      <c r="AR78" s="706">
        <f>AR76*AR77</f>
        <v>0</v>
      </c>
      <c r="AS78" s="706">
        <f>AS76*AS77</f>
        <v>0</v>
      </c>
      <c r="AT78" s="724">
        <f>AR78+AS78</f>
        <v>0</v>
      </c>
    </row>
    <row r="79" spans="1:57" ht="16.5" customHeight="1" x14ac:dyDescent="0.25">
      <c r="A79" s="1171" t="s">
        <v>26</v>
      </c>
      <c r="B79" s="1171"/>
      <c r="C79" s="342"/>
      <c r="D79" s="342"/>
      <c r="E79" s="342"/>
      <c r="F79" s="301"/>
      <c r="G79" s="301"/>
      <c r="H79" s="301"/>
      <c r="I79" s="301"/>
      <c r="J79" s="301"/>
      <c r="K79" s="301"/>
      <c r="L79" s="398">
        <f>N76-N59+L57</f>
        <v>0</v>
      </c>
      <c r="M79" s="301"/>
      <c r="N79" s="338"/>
      <c r="O79" s="707"/>
      <c r="P79" s="707"/>
      <c r="Q79" s="732"/>
      <c r="R79" s="1078"/>
      <c r="S79" s="1078"/>
      <c r="T79" s="732"/>
      <c r="U79" s="732"/>
      <c r="V79" s="732"/>
      <c r="W79" s="732"/>
      <c r="X79" s="732"/>
      <c r="Y79" s="732"/>
      <c r="Z79" s="732"/>
      <c r="AA79" s="732"/>
      <c r="AB79" s="732"/>
      <c r="AC79" s="732"/>
      <c r="AD79" s="732"/>
      <c r="AE79" s="732"/>
      <c r="AF79" s="510"/>
      <c r="AG79" s="326"/>
      <c r="AH79" s="326"/>
      <c r="AI79" s="510"/>
      <c r="AJ79" s="510"/>
      <c r="AK79" s="326"/>
      <c r="AL79" s="326"/>
      <c r="AP79" s="708" t="s">
        <v>183</v>
      </c>
      <c r="AR79" s="725" t="e">
        <f>AR76/AT76</f>
        <v>#DIV/0!</v>
      </c>
      <c r="AS79" s="725" t="e">
        <f>AS76/AT76</f>
        <v>#DIV/0!</v>
      </c>
      <c r="AT79" s="726" t="e">
        <f>AR79+AS79</f>
        <v>#DIV/0!</v>
      </c>
      <c r="AU79" s="326"/>
      <c r="AV79" s="326"/>
      <c r="AW79" s="326"/>
      <c r="AX79" s="326"/>
      <c r="AY79" s="326"/>
      <c r="AZ79" s="326"/>
      <c r="BA79" s="326"/>
      <c r="BB79" s="326"/>
    </row>
    <row r="80" spans="1:57" ht="16.5" customHeight="1" thickBot="1" x14ac:dyDescent="0.3">
      <c r="A80" s="1171" t="s">
        <v>75</v>
      </c>
      <c r="B80" s="1171"/>
      <c r="C80" s="226"/>
      <c r="D80" s="226"/>
      <c r="E80" s="226"/>
      <c r="F80" s="301"/>
      <c r="G80" s="301"/>
      <c r="H80" s="301"/>
      <c r="I80" s="301"/>
      <c r="J80" s="301"/>
      <c r="K80" s="301"/>
      <c r="L80" s="398">
        <f>N76-M59</f>
        <v>0</v>
      </c>
      <c r="M80" s="301"/>
      <c r="N80" s="516"/>
      <c r="O80" s="306"/>
      <c r="P80" s="306"/>
      <c r="Q80" s="732"/>
      <c r="R80" s="1078"/>
      <c r="S80" s="1078"/>
      <c r="T80" s="732"/>
      <c r="U80" s="732"/>
      <c r="V80" s="732"/>
      <c r="W80" s="732"/>
      <c r="X80" s="732"/>
      <c r="Y80" s="732"/>
      <c r="Z80" s="732"/>
      <c r="AA80" s="732"/>
      <c r="AB80" s="732"/>
      <c r="AC80" s="732"/>
      <c r="AD80" s="732"/>
      <c r="AE80" s="732"/>
      <c r="AF80" s="510"/>
      <c r="AG80" s="326"/>
      <c r="AH80" s="326"/>
      <c r="AI80" s="510"/>
      <c r="AJ80" s="510"/>
      <c r="AK80" s="326"/>
      <c r="AL80" s="326"/>
      <c r="AO80" s="326"/>
      <c r="AP80" s="326"/>
      <c r="AQ80" s="326"/>
      <c r="AR80" s="326"/>
      <c r="AS80" s="326"/>
      <c r="AU80" s="326"/>
      <c r="AV80" s="326"/>
      <c r="AW80" s="326"/>
      <c r="AX80" s="326"/>
      <c r="AY80" s="326"/>
      <c r="AZ80" s="326"/>
      <c r="BA80" s="326"/>
      <c r="BB80" s="326"/>
    </row>
    <row r="81" spans="1:54" ht="16.5" customHeight="1" thickTop="1" thickBot="1" x14ac:dyDescent="0.3">
      <c r="A81" s="1193" t="s">
        <v>108</v>
      </c>
      <c r="B81" s="1193"/>
      <c r="C81" s="1142"/>
      <c r="D81" s="1142"/>
      <c r="E81" s="1142"/>
      <c r="F81" s="421"/>
      <c r="G81" s="421"/>
      <c r="H81" s="421"/>
      <c r="I81" s="421"/>
      <c r="J81" s="421"/>
      <c r="K81" s="421"/>
      <c r="L81" s="421"/>
      <c r="M81" s="1173"/>
      <c r="N81" s="609">
        <v>0</v>
      </c>
      <c r="O81" s="705"/>
      <c r="P81" s="705"/>
      <c r="Q81" s="1024"/>
      <c r="R81" s="1081"/>
      <c r="S81" s="1078"/>
      <c r="T81" s="732"/>
      <c r="U81" s="732"/>
      <c r="V81" s="732"/>
      <c r="W81" s="732"/>
      <c r="X81" s="732"/>
      <c r="Y81" s="732"/>
      <c r="Z81" s="732"/>
      <c r="AA81" s="732"/>
      <c r="AB81" s="732"/>
      <c r="AC81" s="732"/>
      <c r="AD81" s="732"/>
      <c r="AE81" s="732"/>
      <c r="AF81" s="510"/>
      <c r="AG81" s="326"/>
      <c r="AH81" s="326"/>
      <c r="AI81" s="510"/>
      <c r="AJ81" s="510"/>
      <c r="AK81" s="326"/>
      <c r="AL81" s="326"/>
      <c r="AP81" s="708" t="s">
        <v>190</v>
      </c>
      <c r="AT81" s="706">
        <f>N76</f>
        <v>0</v>
      </c>
      <c r="AU81" s="326"/>
      <c r="AV81" s="326"/>
      <c r="AW81" s="326"/>
      <c r="AX81" s="326"/>
      <c r="AY81" s="326"/>
      <c r="AZ81" s="326"/>
      <c r="BA81" s="326"/>
      <c r="BB81" s="326"/>
    </row>
    <row r="82" spans="1:54" ht="16.5" customHeight="1" thickTop="1" x14ac:dyDescent="0.25">
      <c r="A82" s="602"/>
      <c r="B82" s="1370"/>
      <c r="C82" s="226"/>
      <c r="D82" s="226"/>
      <c r="E82" s="226"/>
      <c r="F82" s="301"/>
      <c r="G82" s="301"/>
      <c r="H82" s="301"/>
      <c r="I82" s="301"/>
      <c r="J82" s="301"/>
      <c r="K82" s="301"/>
      <c r="L82" s="301"/>
      <c r="M82" s="301"/>
      <c r="N82" s="517"/>
      <c r="O82" s="707"/>
      <c r="P82" s="707"/>
      <c r="Q82" s="732"/>
      <c r="R82" s="1078"/>
      <c r="S82" s="1078"/>
      <c r="T82" s="732"/>
      <c r="U82" s="732"/>
      <c r="V82" s="732"/>
      <c r="W82" s="732"/>
      <c r="X82" s="732"/>
      <c r="Y82" s="732"/>
      <c r="Z82" s="732"/>
      <c r="AA82" s="732"/>
      <c r="AB82" s="732"/>
      <c r="AC82" s="732"/>
      <c r="AD82" s="732"/>
      <c r="AE82" s="732"/>
      <c r="AF82" s="510"/>
      <c r="AG82" s="326"/>
      <c r="AH82" s="326"/>
      <c r="AI82" s="510"/>
      <c r="AJ82" s="510"/>
      <c r="AK82" s="326"/>
      <c r="AL82" s="326"/>
      <c r="AM82" s="326"/>
      <c r="AP82" s="708" t="s">
        <v>191</v>
      </c>
      <c r="AT82" s="706">
        <f>L80</f>
        <v>0</v>
      </c>
      <c r="AU82" s="326"/>
      <c r="AV82" s="326"/>
      <c r="AW82" s="326"/>
      <c r="AX82" s="326"/>
      <c r="AY82" s="326"/>
      <c r="AZ82" s="326"/>
      <c r="BA82" s="326"/>
      <c r="BB82" s="326"/>
    </row>
    <row r="83" spans="1:54" ht="24.75" hidden="1" customHeight="1" x14ac:dyDescent="0.25">
      <c r="A83" s="1114" t="s">
        <v>534</v>
      </c>
      <c r="B83" s="1376"/>
      <c r="C83" s="431"/>
      <c r="D83" s="431"/>
      <c r="E83" s="431"/>
      <c r="F83" s="432"/>
      <c r="G83" s="432"/>
      <c r="H83" s="432"/>
      <c r="I83" s="432"/>
      <c r="J83" s="432"/>
      <c r="K83" s="432"/>
      <c r="L83" s="610" t="s">
        <v>434</v>
      </c>
      <c r="M83" s="261"/>
      <c r="N83" s="518"/>
      <c r="O83" s="705"/>
      <c r="P83" s="705"/>
      <c r="Q83" s="713"/>
      <c r="R83" s="1077"/>
      <c r="S83" s="1077"/>
      <c r="T83" s="713"/>
      <c r="U83" s="713"/>
      <c r="V83" s="713"/>
      <c r="W83" s="713"/>
      <c r="X83" s="713"/>
      <c r="Y83" s="713"/>
      <c r="Z83" s="713"/>
      <c r="AA83" s="713"/>
      <c r="AB83" s="713"/>
      <c r="AC83" s="713"/>
      <c r="AD83" s="713"/>
      <c r="AE83" s="713"/>
      <c r="AM83" s="326"/>
      <c r="AN83" s="326"/>
    </row>
    <row r="84" spans="1:54" ht="16.5" hidden="1" customHeight="1" thickBot="1" x14ac:dyDescent="0.3">
      <c r="A84" s="1118" t="s">
        <v>532</v>
      </c>
      <c r="B84" s="1342"/>
      <c r="C84" s="404"/>
      <c r="D84" s="404"/>
      <c r="E84" s="404"/>
      <c r="F84" s="261"/>
      <c r="G84" s="261"/>
      <c r="H84" s="261"/>
      <c r="I84" s="261"/>
      <c r="J84" s="261"/>
      <c r="K84" s="261"/>
      <c r="L84" s="399" t="str">
        <f>IF(AND(F284="Yes",F286="Yes",L201="Yes"),AR100, IF(AND(F284="Yes", F286="No", L201="Yes"), AR76, " "))</f>
        <v xml:space="preserve"> </v>
      </c>
      <c r="M84" s="261"/>
      <c r="N84" s="518"/>
      <c r="O84" s="705"/>
      <c r="P84" s="705"/>
      <c r="Q84" s="713"/>
      <c r="R84" s="1077"/>
      <c r="S84" s="1077"/>
      <c r="T84" s="713"/>
      <c r="U84" s="713"/>
      <c r="V84" s="713"/>
      <c r="W84" s="713"/>
      <c r="X84" s="713"/>
      <c r="Y84" s="713"/>
      <c r="Z84" s="713"/>
      <c r="AA84" s="713"/>
      <c r="AB84" s="713"/>
      <c r="AC84" s="713"/>
      <c r="AD84" s="713"/>
      <c r="AE84" s="713"/>
      <c r="AN84" s="326"/>
    </row>
    <row r="85" spans="1:54" ht="16.5" hidden="1" customHeight="1" thickTop="1" thickBot="1" x14ac:dyDescent="0.3">
      <c r="A85" s="1120" t="s">
        <v>188</v>
      </c>
      <c r="B85" s="1343"/>
      <c r="C85" s="404"/>
      <c r="D85" s="404"/>
      <c r="E85" s="404"/>
      <c r="F85" s="261"/>
      <c r="G85" s="261"/>
      <c r="H85" s="261"/>
      <c r="I85" s="261"/>
      <c r="J85" s="261"/>
      <c r="K85" s="261"/>
      <c r="L85" s="612"/>
      <c r="M85" s="261"/>
      <c r="N85" s="518"/>
      <c r="O85" s="705"/>
      <c r="P85" s="705"/>
      <c r="Q85" s="713"/>
      <c r="R85" s="1077"/>
      <c r="S85" s="1077"/>
      <c r="T85" s="713"/>
      <c r="U85" s="713"/>
      <c r="V85" s="713"/>
      <c r="W85" s="713"/>
      <c r="X85" s="713"/>
      <c r="Y85" s="713"/>
      <c r="Z85" s="713"/>
      <c r="AA85" s="713"/>
      <c r="AB85" s="713"/>
      <c r="AC85" s="713"/>
      <c r="AD85" s="713"/>
      <c r="AE85" s="713"/>
    </row>
    <row r="86" spans="1:54" ht="16.5" hidden="1" customHeight="1" thickTop="1" x14ac:dyDescent="0.25">
      <c r="A86" s="1118" t="s">
        <v>530</v>
      </c>
      <c r="B86" s="1342"/>
      <c r="C86" s="404"/>
      <c r="D86" s="404"/>
      <c r="E86" s="404"/>
      <c r="F86" s="261"/>
      <c r="G86" s="261"/>
      <c r="H86" s="261"/>
      <c r="I86" s="261"/>
      <c r="J86" s="261"/>
      <c r="K86" s="261"/>
      <c r="L86" s="399" t="str">
        <f>IF(AND(F284="Yes",F286="Yes",L201="Yes"),AR102, IF(AND(F284="Yes", F286="No", L201="Yes"), AR78, " "))</f>
        <v xml:space="preserve"> </v>
      </c>
      <c r="M86" s="261"/>
      <c r="N86" s="518"/>
      <c r="O86" s="705"/>
      <c r="P86" s="705"/>
      <c r="Q86" s="713"/>
      <c r="R86" s="1077"/>
      <c r="S86" s="1077"/>
      <c r="T86" s="713"/>
      <c r="U86" s="713"/>
      <c r="V86" s="713"/>
      <c r="W86" s="713"/>
      <c r="X86" s="713"/>
      <c r="Y86" s="713"/>
      <c r="Z86" s="713"/>
      <c r="AA86" s="713"/>
      <c r="AB86" s="713"/>
      <c r="AC86" s="713"/>
      <c r="AD86" s="713"/>
      <c r="AE86" s="713"/>
    </row>
    <row r="87" spans="1:54" ht="8.25" hidden="1" customHeight="1" x14ac:dyDescent="0.25">
      <c r="A87" s="1122"/>
      <c r="B87" s="1344"/>
      <c r="C87" s="404"/>
      <c r="D87" s="404"/>
      <c r="E87" s="404"/>
      <c r="F87" s="261"/>
      <c r="G87" s="261"/>
      <c r="H87" s="261"/>
      <c r="I87" s="261"/>
      <c r="J87" s="261"/>
      <c r="K87" s="407"/>
      <c r="L87" s="434"/>
      <c r="M87" s="261"/>
      <c r="N87" s="518"/>
      <c r="O87" s="705"/>
      <c r="P87" s="705"/>
      <c r="Q87" s="713"/>
      <c r="R87" s="1077"/>
      <c r="S87" s="1077"/>
      <c r="T87" s="713"/>
      <c r="U87" s="713"/>
      <c r="V87" s="713"/>
      <c r="W87" s="713"/>
      <c r="X87" s="713"/>
      <c r="Y87" s="713"/>
      <c r="Z87" s="713"/>
      <c r="AA87" s="713"/>
      <c r="AB87" s="713"/>
      <c r="AC87" s="713"/>
      <c r="AD87" s="713"/>
      <c r="AE87" s="713"/>
    </row>
    <row r="88" spans="1:54" ht="16.5" hidden="1" customHeight="1" thickBot="1" x14ac:dyDescent="0.3">
      <c r="A88" s="1118" t="s">
        <v>533</v>
      </c>
      <c r="B88" s="1342"/>
      <c r="C88" s="404"/>
      <c r="D88" s="404"/>
      <c r="E88" s="404"/>
      <c r="F88" s="261"/>
      <c r="G88" s="261"/>
      <c r="H88" s="261"/>
      <c r="I88" s="261"/>
      <c r="J88" s="261"/>
      <c r="K88" s="261"/>
      <c r="L88" s="399" t="str">
        <f>IF(AND(F284="Yes",F286="Yes",L201="Yes"),AS100,IF(AND(F284="Yes",F286="No",L201="Yes"),AS76," "))</f>
        <v xml:space="preserve"> </v>
      </c>
      <c r="M88" s="261"/>
      <c r="N88" s="518"/>
      <c r="O88" s="705"/>
      <c r="P88" s="705"/>
      <c r="Q88" s="713"/>
      <c r="R88" s="1077"/>
      <c r="S88" s="1077"/>
      <c r="T88" s="713"/>
      <c r="U88" s="713"/>
      <c r="V88" s="713"/>
      <c r="W88" s="713"/>
      <c r="X88" s="713"/>
      <c r="Y88" s="713"/>
      <c r="Z88" s="713"/>
      <c r="AA88" s="713"/>
      <c r="AB88" s="713"/>
      <c r="AC88" s="713"/>
      <c r="AD88" s="713"/>
      <c r="AE88" s="713"/>
    </row>
    <row r="89" spans="1:54" ht="16.5" hidden="1" customHeight="1" thickTop="1" thickBot="1" x14ac:dyDescent="0.3">
      <c r="A89" s="1120" t="s">
        <v>52</v>
      </c>
      <c r="B89" s="1343"/>
      <c r="C89" s="404"/>
      <c r="D89" s="404"/>
      <c r="E89" s="404"/>
      <c r="F89" s="261"/>
      <c r="G89" s="261"/>
      <c r="H89" s="261"/>
      <c r="I89" s="261"/>
      <c r="J89" s="261"/>
      <c r="K89" s="261"/>
      <c r="L89" s="612"/>
      <c r="M89" s="261"/>
      <c r="N89" s="518"/>
      <c r="O89" s="705"/>
      <c r="P89" s="705"/>
      <c r="Q89" s="713"/>
      <c r="R89" s="1077"/>
      <c r="S89" s="1077"/>
      <c r="T89" s="713"/>
      <c r="U89" s="713"/>
      <c r="V89" s="713"/>
      <c r="W89" s="713"/>
      <c r="X89" s="713"/>
      <c r="Y89" s="713"/>
      <c r="Z89" s="713"/>
      <c r="AA89" s="713"/>
      <c r="AB89" s="713"/>
      <c r="AC89" s="713"/>
      <c r="AD89" s="713"/>
      <c r="AE89" s="713"/>
    </row>
    <row r="90" spans="1:54" ht="16.5" hidden="1" customHeight="1" thickTop="1" x14ac:dyDescent="0.25">
      <c r="A90" s="1141" t="s">
        <v>531</v>
      </c>
      <c r="B90" s="1342"/>
      <c r="C90" s="226"/>
      <c r="D90" s="226"/>
      <c r="E90" s="226"/>
      <c r="F90" s="301"/>
      <c r="G90" s="301"/>
      <c r="H90" s="301"/>
      <c r="I90" s="301"/>
      <c r="J90" s="301"/>
      <c r="K90" s="301"/>
      <c r="L90" s="401" t="str">
        <f>IF(AND(F284="Yes",F286="Yes",L201="Yes"),AS102,IF(AND(F284="Yes",F286="No",L201="Yes"),AS78," "))</f>
        <v xml:space="preserve"> </v>
      </c>
      <c r="M90" s="301"/>
      <c r="N90" s="518"/>
      <c r="O90" s="705"/>
      <c r="P90" s="705"/>
      <c r="Q90" s="713"/>
      <c r="R90" s="1077"/>
      <c r="S90" s="1077"/>
      <c r="T90" s="713"/>
      <c r="U90" s="713"/>
      <c r="V90" s="713"/>
      <c r="W90" s="713"/>
      <c r="X90" s="713"/>
      <c r="Y90" s="713"/>
      <c r="Z90" s="713"/>
      <c r="AA90" s="713"/>
      <c r="AB90" s="713"/>
      <c r="AC90" s="713"/>
      <c r="AD90" s="713"/>
      <c r="AE90" s="713"/>
    </row>
    <row r="91" spans="1:54" ht="5.25" hidden="1" customHeight="1" x14ac:dyDescent="0.25">
      <c r="C91" s="226"/>
      <c r="D91" s="226"/>
      <c r="E91" s="226"/>
      <c r="F91" s="301"/>
      <c r="G91" s="301"/>
      <c r="H91" s="301"/>
      <c r="I91" s="301"/>
      <c r="J91" s="301"/>
      <c r="K91" s="407"/>
      <c r="L91" s="434"/>
      <c r="M91" s="301"/>
      <c r="N91" s="518"/>
      <c r="O91" s="705"/>
      <c r="P91" s="705"/>
      <c r="Q91" s="713"/>
      <c r="R91" s="1077"/>
      <c r="S91" s="1077"/>
      <c r="T91" s="713"/>
      <c r="U91" s="713"/>
      <c r="V91" s="713"/>
      <c r="W91" s="713"/>
      <c r="X91" s="713"/>
      <c r="Y91" s="713"/>
      <c r="Z91" s="713"/>
      <c r="AA91" s="713"/>
      <c r="AB91" s="713"/>
      <c r="AC91" s="713"/>
      <c r="AD91" s="713"/>
      <c r="AE91" s="713"/>
    </row>
    <row r="92" spans="1:54" ht="16.5" hidden="1" customHeight="1" x14ac:dyDescent="0.25">
      <c r="A92" s="403"/>
      <c r="B92" s="403"/>
      <c r="C92" s="412" t="str">
        <f>IF(L201="Yes", "Combined F&amp;A Rate", " ")</f>
        <v xml:space="preserve"> </v>
      </c>
      <c r="D92" s="412"/>
      <c r="E92" s="412"/>
      <c r="F92" s="413" t="str">
        <f>IF(L201="Yes", AT77, " ")</f>
        <v xml:space="preserve"> </v>
      </c>
      <c r="J92" s="301"/>
      <c r="K92" s="614" t="str">
        <f>IF(L201="Yes", L84+L88, " ")</f>
        <v xml:space="preserve"> </v>
      </c>
      <c r="L92" s="435"/>
      <c r="M92" s="301"/>
      <c r="N92" s="518"/>
      <c r="O92" s="705"/>
      <c r="P92" s="705"/>
      <c r="Q92" s="713"/>
      <c r="R92" s="1077"/>
      <c r="S92" s="1077"/>
      <c r="T92" s="713"/>
      <c r="U92" s="713"/>
      <c r="V92" s="713"/>
      <c r="W92" s="713"/>
      <c r="X92" s="713"/>
      <c r="Y92" s="713"/>
      <c r="Z92" s="713"/>
      <c r="AA92" s="713"/>
      <c r="AB92" s="713"/>
      <c r="AC92" s="713"/>
      <c r="AD92" s="713"/>
      <c r="AE92" s="713"/>
    </row>
    <row r="93" spans="1:54" ht="16.5" hidden="1" customHeight="1" thickBot="1" x14ac:dyDescent="0.3">
      <c r="A93" s="408" t="s">
        <v>156</v>
      </c>
      <c r="B93" s="1345"/>
      <c r="C93" s="409"/>
      <c r="D93" s="409"/>
      <c r="E93" s="409"/>
      <c r="F93" s="375"/>
      <c r="G93" s="375"/>
      <c r="H93" s="375"/>
      <c r="I93" s="375"/>
      <c r="J93" s="375"/>
      <c r="K93" s="375"/>
      <c r="L93" s="402" t="str">
        <f>IF(AND(F284="Yes",F286="Yes",L201="Yes"),L86+L90, IF(AND(F284="Yes", F286="No", L201="Yes"), L86+L90, " "))</f>
        <v xml:space="preserve"> </v>
      </c>
      <c r="M93" s="301"/>
      <c r="N93" s="518"/>
      <c r="O93" s="705"/>
      <c r="P93" s="705"/>
      <c r="Q93" s="713"/>
      <c r="R93" s="1077"/>
      <c r="S93" s="1077"/>
      <c r="T93" s="713"/>
      <c r="U93" s="713"/>
      <c r="V93" s="713"/>
      <c r="W93" s="713"/>
      <c r="X93" s="713"/>
      <c r="Y93" s="713"/>
      <c r="Z93" s="713"/>
      <c r="AA93" s="713"/>
      <c r="AB93" s="713"/>
      <c r="AC93" s="713"/>
      <c r="AD93" s="713"/>
      <c r="AE93" s="713"/>
      <c r="AP93" s="731" t="s">
        <v>193</v>
      </c>
      <c r="AT93" s="706">
        <f>N81</f>
        <v>0</v>
      </c>
    </row>
    <row r="94" spans="1:54" ht="16.5" hidden="1" customHeight="1" x14ac:dyDescent="0.25">
      <c r="A94" s="602"/>
      <c r="B94" s="1370"/>
      <c r="C94" s="226"/>
      <c r="D94" s="226"/>
      <c r="E94" s="226"/>
      <c r="F94" s="262"/>
      <c r="G94" s="262"/>
      <c r="H94" s="262"/>
      <c r="I94" s="262"/>
      <c r="J94" s="262"/>
      <c r="K94" s="415"/>
      <c r="L94" s="301"/>
      <c r="M94" s="301"/>
      <c r="N94" s="416"/>
      <c r="O94" s="710"/>
      <c r="P94" s="710"/>
      <c r="Q94" s="713"/>
      <c r="R94" s="1077"/>
      <c r="S94" s="1077"/>
      <c r="T94" s="713"/>
      <c r="U94" s="713"/>
      <c r="V94" s="713"/>
      <c r="W94" s="713"/>
      <c r="X94" s="713"/>
      <c r="Y94" s="713"/>
      <c r="Z94" s="713"/>
      <c r="AA94" s="713"/>
      <c r="AB94" s="713"/>
      <c r="AC94" s="713"/>
      <c r="AD94" s="713"/>
      <c r="AE94" s="713"/>
      <c r="AO94" s="326"/>
      <c r="AP94" s="731" t="s">
        <v>192</v>
      </c>
      <c r="AQ94" s="326"/>
      <c r="AR94" s="427"/>
      <c r="AS94" s="656"/>
      <c r="AT94" s="724">
        <f>AT82</f>
        <v>0</v>
      </c>
    </row>
    <row r="95" spans="1:54" ht="16.5" customHeight="1" thickBot="1" x14ac:dyDescent="0.3">
      <c r="A95" s="1187" t="s">
        <v>49</v>
      </c>
      <c r="B95" s="1187"/>
      <c r="C95" s="342"/>
      <c r="D95" s="342"/>
      <c r="E95" s="342"/>
      <c r="F95" s="301"/>
      <c r="G95" s="301"/>
      <c r="H95" s="301"/>
      <c r="I95" s="301"/>
      <c r="J95" s="301"/>
      <c r="K95" s="301"/>
      <c r="L95" s="301"/>
      <c r="M95" s="301"/>
      <c r="N95" s="338"/>
      <c r="O95" s="707"/>
      <c r="P95" s="707"/>
      <c r="Q95" s="732"/>
      <c r="R95" s="1078"/>
      <c r="S95" s="1078"/>
      <c r="T95" s="732"/>
      <c r="U95" s="732"/>
      <c r="V95" s="732"/>
      <c r="W95" s="732"/>
      <c r="X95" s="732"/>
      <c r="Y95" s="732"/>
      <c r="Z95" s="732"/>
      <c r="AA95" s="732"/>
      <c r="AB95" s="732"/>
      <c r="AC95" s="732"/>
      <c r="AD95" s="732"/>
      <c r="AE95" s="732"/>
      <c r="AF95" s="510"/>
      <c r="AG95" s="326"/>
      <c r="AH95" s="326"/>
      <c r="AI95" s="510"/>
      <c r="AJ95" s="510"/>
      <c r="AK95" s="326"/>
      <c r="AL95" s="326"/>
      <c r="AM95" s="326"/>
      <c r="AN95" s="326"/>
      <c r="AO95" s="326"/>
      <c r="AP95" s="731" t="s">
        <v>163</v>
      </c>
      <c r="AQ95" s="326"/>
      <c r="AR95" s="326"/>
      <c r="AT95" s="732">
        <f>IF(AT94&gt;AT93, 0, AT93-AT94)</f>
        <v>0</v>
      </c>
      <c r="AU95" s="326"/>
      <c r="AV95" s="326"/>
      <c r="AW95" s="326"/>
      <c r="AX95" s="326"/>
      <c r="AY95" s="326"/>
      <c r="AZ95" s="326"/>
      <c r="BA95" s="326"/>
      <c r="BB95" s="326"/>
    </row>
    <row r="96" spans="1:54" ht="16.5" customHeight="1" thickTop="1" thickBot="1" x14ac:dyDescent="0.3">
      <c r="A96" s="1171" t="s">
        <v>24</v>
      </c>
      <c r="B96" s="411">
        <f>IF(AND(F284="Yes",F286="Yes"),N81-L59-G73-N71-N51-N31+N184+N128,IF(AND(F284="Yes",F286="No"),L80-L59-G73-N71-N51-N31+N184+N128, N76-N234-N235-N236))</f>
        <v>0</v>
      </c>
      <c r="C96" s="226"/>
      <c r="D96" s="226"/>
      <c r="E96" s="226"/>
      <c r="F96" s="301"/>
      <c r="G96" s="1171" t="s">
        <v>52</v>
      </c>
      <c r="H96" s="1095">
        <v>0.69</v>
      </c>
      <c r="I96" s="301"/>
      <c r="J96" s="301"/>
      <c r="K96" s="301"/>
      <c r="M96" s="1202" t="s">
        <v>48</v>
      </c>
      <c r="N96" s="414">
        <f>IF(L201="No", B96*H96, " ")</f>
        <v>0</v>
      </c>
      <c r="O96" s="707"/>
      <c r="P96" s="707"/>
      <c r="Q96" s="1024"/>
      <c r="R96" s="1081"/>
      <c r="S96" s="1078"/>
      <c r="T96" s="732"/>
      <c r="U96" s="732"/>
      <c r="V96" s="732"/>
      <c r="W96" s="732"/>
      <c r="X96" s="732"/>
      <c r="Y96" s="732"/>
      <c r="Z96" s="732"/>
      <c r="AA96" s="732"/>
      <c r="AB96" s="732"/>
      <c r="AC96" s="732"/>
      <c r="AD96" s="732"/>
      <c r="AE96" s="732"/>
      <c r="AF96" s="510"/>
      <c r="AG96" s="326"/>
      <c r="AH96" s="326"/>
      <c r="AI96" s="510"/>
      <c r="AJ96" s="510"/>
      <c r="AK96" s="326"/>
      <c r="AL96" s="326"/>
      <c r="AM96" s="326"/>
      <c r="AN96" s="326"/>
      <c r="AP96" s="708" t="s">
        <v>164</v>
      </c>
      <c r="AR96" s="725" t="e">
        <f>AR76/AT76</f>
        <v>#DIV/0!</v>
      </c>
      <c r="AS96" s="725" t="e">
        <f>AS76/AT76</f>
        <v>#DIV/0!</v>
      </c>
      <c r="AT96" s="733" t="e">
        <f>AR96+AS96</f>
        <v>#DIV/0!</v>
      </c>
      <c r="AU96" s="326"/>
      <c r="AV96" s="326"/>
      <c r="AW96" s="326"/>
      <c r="AX96" s="326"/>
      <c r="AY96" s="326"/>
      <c r="AZ96" s="326"/>
      <c r="BA96" s="326"/>
      <c r="BB96" s="326"/>
    </row>
    <row r="97" spans="1:57" ht="16.5" customHeight="1" thickTop="1" thickBot="1" x14ac:dyDescent="0.3">
      <c r="B97" s="1171"/>
      <c r="C97" s="226"/>
      <c r="D97" s="226"/>
      <c r="E97" s="226"/>
      <c r="F97" s="301"/>
      <c r="G97" s="301"/>
      <c r="H97" s="301"/>
      <c r="I97" s="301"/>
      <c r="J97" s="301"/>
      <c r="K97" s="301"/>
      <c r="M97" s="433"/>
      <c r="N97" s="520"/>
      <c r="O97" s="710"/>
      <c r="P97" s="710"/>
      <c r="Q97" s="732"/>
      <c r="R97" s="1078"/>
      <c r="S97" s="1078"/>
      <c r="T97" s="732"/>
      <c r="U97" s="732"/>
      <c r="V97" s="732"/>
      <c r="W97" s="732"/>
      <c r="X97" s="732"/>
      <c r="Y97" s="732"/>
      <c r="Z97" s="732"/>
      <c r="AA97" s="732"/>
      <c r="AB97" s="732"/>
      <c r="AC97" s="732"/>
      <c r="AD97" s="732"/>
      <c r="AE97" s="732"/>
      <c r="AF97" s="510"/>
      <c r="AG97" s="326"/>
      <c r="AH97" s="326"/>
      <c r="AI97" s="510"/>
      <c r="AJ97" s="510"/>
      <c r="AK97" s="326"/>
      <c r="AL97" s="326"/>
      <c r="AM97" s="326"/>
      <c r="AN97" s="326"/>
      <c r="AT97" s="326"/>
      <c r="AU97" s="326"/>
      <c r="AV97" s="326"/>
      <c r="AW97" s="326"/>
      <c r="AX97" s="326"/>
      <c r="AY97" s="326"/>
      <c r="AZ97" s="326"/>
      <c r="BA97" s="326"/>
      <c r="BB97" s="326"/>
    </row>
    <row r="98" spans="1:57" ht="16.5" hidden="1" customHeight="1" x14ac:dyDescent="0.25">
      <c r="A98" s="602"/>
      <c r="B98" s="1370"/>
      <c r="C98" s="226"/>
      <c r="D98" s="226"/>
      <c r="E98" s="226"/>
      <c r="F98" s="262"/>
      <c r="G98" s="262"/>
      <c r="H98" s="262"/>
      <c r="I98" s="262"/>
      <c r="J98" s="262"/>
      <c r="K98" s="415"/>
      <c r="L98" s="301"/>
      <c r="M98" s="301"/>
      <c r="N98" s="416"/>
      <c r="O98" s="710"/>
      <c r="P98" s="710"/>
      <c r="Q98" s="713"/>
      <c r="R98" s="1077"/>
      <c r="S98" s="1077"/>
      <c r="T98" s="713"/>
      <c r="U98" s="713"/>
      <c r="V98" s="713"/>
      <c r="W98" s="713"/>
      <c r="X98" s="713"/>
      <c r="Y98" s="713"/>
      <c r="Z98" s="713"/>
      <c r="AA98" s="713"/>
      <c r="AB98" s="713"/>
      <c r="AC98" s="713"/>
      <c r="AD98" s="713"/>
      <c r="AE98" s="713"/>
      <c r="AP98" s="708" t="s">
        <v>180</v>
      </c>
      <c r="AR98" s="656" t="e">
        <f>#REF!*#REF!</f>
        <v>#REF!</v>
      </c>
      <c r="AS98" s="656" t="e">
        <f>#REF!*#REF!</f>
        <v>#REF!</v>
      </c>
      <c r="AT98" s="713" t="e">
        <f>#REF!*#REF!</f>
        <v>#REF!</v>
      </c>
    </row>
    <row r="99" spans="1:57" ht="16.5" hidden="1" customHeight="1" x14ac:dyDescent="0.25">
      <c r="A99" s="602"/>
      <c r="B99" s="1370"/>
      <c r="C99" s="226"/>
      <c r="D99" s="226"/>
      <c r="E99" s="226"/>
      <c r="F99" s="262"/>
      <c r="G99" s="262"/>
      <c r="H99" s="262"/>
      <c r="I99" s="262"/>
      <c r="J99" s="262"/>
      <c r="K99" s="415"/>
      <c r="L99" s="301"/>
      <c r="M99" s="301"/>
      <c r="N99" s="416"/>
      <c r="O99" s="710"/>
      <c r="P99" s="710"/>
      <c r="Q99" s="713"/>
      <c r="R99" s="1077"/>
      <c r="S99" s="1077"/>
      <c r="T99" s="713"/>
      <c r="U99" s="713"/>
      <c r="V99" s="713"/>
      <c r="W99" s="713"/>
      <c r="X99" s="713"/>
      <c r="Y99" s="713"/>
      <c r="Z99" s="713"/>
      <c r="AA99" s="713"/>
      <c r="AB99" s="713"/>
      <c r="AC99" s="713"/>
      <c r="AD99" s="713"/>
      <c r="AE99" s="713"/>
    </row>
    <row r="100" spans="1:57" ht="16.5" customHeight="1" x14ac:dyDescent="0.25">
      <c r="A100" s="1202" t="s">
        <v>18</v>
      </c>
      <c r="B100" s="1367"/>
      <c r="C100" s="418"/>
      <c r="D100" s="418"/>
      <c r="E100" s="418"/>
      <c r="F100" s="419"/>
      <c r="G100" s="419"/>
      <c r="H100" s="419"/>
      <c r="I100" s="419"/>
      <c r="J100" s="419"/>
      <c r="K100" s="420"/>
      <c r="L100" s="421"/>
      <c r="M100" s="421"/>
      <c r="N100" s="422">
        <f>IF(AND(F284="Yes",F286="Yes",L201="No"),N81+M59+N96,IF(AND(F284="Yes",F286="No",L201="No"),N76+N96,IF(AND(F284="Yes",F286="Yes",L201="Yes"),N81+M59+L93,IF(AND(F284="Yes",F286="No",L201="Yes"),N76+L93,IF(AND(F284="No", F286="No", L201="No"),N76+N96, N76+N96)))))</f>
        <v>0</v>
      </c>
      <c r="O100" s="705"/>
      <c r="P100" s="705"/>
      <c r="Q100" s="713"/>
      <c r="R100" s="1077"/>
      <c r="S100" s="1077"/>
      <c r="T100" s="713"/>
      <c r="U100" s="713"/>
      <c r="V100" s="713"/>
      <c r="W100" s="713"/>
      <c r="X100" s="713"/>
      <c r="Y100" s="713"/>
      <c r="Z100" s="713"/>
      <c r="AA100" s="713"/>
      <c r="AB100" s="713"/>
      <c r="AC100" s="713"/>
      <c r="AD100" s="713"/>
      <c r="AE100" s="713"/>
      <c r="AP100" s="708" t="s">
        <v>184</v>
      </c>
      <c r="AR100" s="656" t="e">
        <f>AR76+#REF!</f>
        <v>#REF!</v>
      </c>
      <c r="AS100" s="656" t="e">
        <f>AS76+#REF!</f>
        <v>#REF!</v>
      </c>
      <c r="AT100" s="656" t="e">
        <f>AR100+AS100</f>
        <v>#REF!</v>
      </c>
    </row>
    <row r="101" spans="1:57" ht="16.5" customHeight="1" x14ac:dyDescent="0.25">
      <c r="A101" s="617"/>
      <c r="B101" s="617"/>
      <c r="C101" s="618"/>
      <c r="D101" s="618"/>
      <c r="E101" s="618"/>
      <c r="L101" s="619"/>
      <c r="M101" s="619"/>
      <c r="N101" s="620"/>
      <c r="O101" s="736"/>
      <c r="P101" s="736"/>
      <c r="Q101" s="713"/>
      <c r="R101" s="1077"/>
      <c r="S101" s="1077"/>
      <c r="T101" s="713"/>
      <c r="U101" s="713"/>
      <c r="V101" s="713"/>
      <c r="W101" s="713"/>
      <c r="X101" s="713"/>
      <c r="Y101" s="713"/>
      <c r="Z101" s="713"/>
      <c r="AA101" s="713"/>
      <c r="AB101" s="713"/>
      <c r="AC101" s="713"/>
      <c r="AD101" s="713"/>
      <c r="AE101" s="713"/>
      <c r="AP101" s="230" t="s">
        <v>179</v>
      </c>
      <c r="AR101" s="482">
        <f>L85</f>
        <v>0</v>
      </c>
      <c r="AS101" s="482">
        <f>L89</f>
        <v>0</v>
      </c>
      <c r="AT101" s="737" t="e">
        <f>#REF!</f>
        <v>#REF!</v>
      </c>
    </row>
    <row r="102" spans="1:57" ht="14.4" thickBot="1" x14ac:dyDescent="0.3">
      <c r="A102" s="621"/>
      <c r="B102" s="843"/>
      <c r="C102" s="622"/>
      <c r="D102" s="844"/>
      <c r="E102" s="844"/>
      <c r="F102" s="623"/>
      <c r="G102" s="623"/>
      <c r="H102" s="845"/>
      <c r="I102" s="845"/>
      <c r="J102" s="623"/>
      <c r="K102" s="623"/>
      <c r="L102" s="623"/>
      <c r="M102" s="623"/>
      <c r="N102" s="623"/>
      <c r="O102" s="738"/>
      <c r="P102" s="738"/>
      <c r="Q102" s="713"/>
      <c r="R102" s="1077"/>
      <c r="S102" s="1077"/>
      <c r="T102" s="713"/>
      <c r="U102" s="713"/>
      <c r="V102" s="713"/>
      <c r="W102" s="713"/>
      <c r="X102" s="713"/>
      <c r="Y102" s="713"/>
      <c r="Z102" s="713"/>
      <c r="AA102" s="713"/>
      <c r="AB102" s="713"/>
      <c r="AC102" s="713"/>
      <c r="AD102" s="713"/>
      <c r="AE102" s="713"/>
      <c r="AP102" s="739" t="s">
        <v>182</v>
      </c>
      <c r="AQ102" s="231"/>
      <c r="AR102" s="706" t="e">
        <f>AR78+AR98</f>
        <v>#REF!</v>
      </c>
      <c r="AS102" s="706" t="e">
        <f>AS78+AS98</f>
        <v>#REF!</v>
      </c>
      <c r="AT102" s="706" t="e">
        <f>AR102+AS102</f>
        <v>#REF!</v>
      </c>
    </row>
    <row r="103" spans="1:57" x14ac:dyDescent="0.25">
      <c r="A103" s="863" t="s">
        <v>441</v>
      </c>
      <c r="B103" s="863"/>
      <c r="C103" s="624"/>
      <c r="D103" s="864"/>
      <c r="E103" s="864"/>
      <c r="F103" s="625"/>
      <c r="G103" s="625"/>
      <c r="H103" s="865"/>
      <c r="I103" s="865"/>
      <c r="J103" s="625"/>
      <c r="K103" s="625"/>
      <c r="L103" s="625"/>
      <c r="M103" s="625"/>
      <c r="N103" s="625"/>
      <c r="O103" s="738"/>
      <c r="P103" s="738"/>
      <c r="Q103" s="866"/>
      <c r="T103" s="866"/>
      <c r="U103" s="866"/>
      <c r="V103" s="866"/>
      <c r="W103" s="866"/>
      <c r="Z103" s="866"/>
      <c r="AA103" s="866"/>
      <c r="AB103" s="866"/>
      <c r="AR103" s="713" t="e">
        <f>AR100*AR101</f>
        <v>#REF!</v>
      </c>
      <c r="AS103" s="713" t="e">
        <f>AS100*AS101</f>
        <v>#REF!</v>
      </c>
      <c r="AT103" s="713" t="e">
        <f>AT100*#REF!</f>
        <v>#REF!</v>
      </c>
    </row>
    <row r="104" spans="1:57" ht="18.600000000000001" thickBot="1" x14ac:dyDescent="0.4">
      <c r="A104" s="832" t="s">
        <v>430</v>
      </c>
      <c r="B104" s="832"/>
      <c r="C104" s="453"/>
      <c r="D104" s="453"/>
      <c r="E104" s="453"/>
      <c r="F104" s="447"/>
      <c r="G104" s="447"/>
      <c r="H104" s="447"/>
      <c r="I104" s="447"/>
      <c r="J104" s="447"/>
      <c r="K104" s="447"/>
      <c r="L104" s="447"/>
      <c r="M104" s="447"/>
      <c r="N104" s="447"/>
      <c r="O104" s="741"/>
      <c r="P104" s="741"/>
      <c r="Q104" s="866"/>
      <c r="T104" s="866"/>
      <c r="U104" s="866"/>
      <c r="V104" s="866"/>
      <c r="W104" s="866"/>
      <c r="Z104" s="866"/>
      <c r="AA104" s="866"/>
      <c r="AB104" s="866"/>
    </row>
    <row r="105" spans="1:57" s="15" customFormat="1" ht="15" customHeight="1" thickTop="1" thickBot="1" x14ac:dyDescent="0.3">
      <c r="A105" s="1226" t="s">
        <v>423</v>
      </c>
      <c r="B105" s="1226"/>
      <c r="C105" s="319"/>
      <c r="D105" s="319"/>
      <c r="E105" s="319"/>
      <c r="F105" s="320"/>
      <c r="G105" s="320"/>
      <c r="H105" s="320"/>
      <c r="I105" s="320"/>
      <c r="J105" s="438"/>
      <c r="K105" s="320"/>
      <c r="L105" s="321" t="s">
        <v>60</v>
      </c>
      <c r="M105" s="320"/>
      <c r="N105" s="1225" t="s">
        <v>272</v>
      </c>
      <c r="O105" s="555"/>
      <c r="P105" s="555"/>
      <c r="Q105" s="328"/>
      <c r="R105" s="639"/>
      <c r="S105" s="639"/>
      <c r="T105" s="328"/>
      <c r="U105" s="328"/>
      <c r="V105" s="328"/>
      <c r="W105" s="328"/>
      <c r="X105" s="328"/>
      <c r="Y105" s="328"/>
      <c r="Z105" s="328"/>
      <c r="AA105" s="328"/>
      <c r="AB105" s="328"/>
      <c r="AC105" s="328"/>
      <c r="AD105" s="328"/>
      <c r="AE105" s="512"/>
      <c r="AF105" s="512"/>
      <c r="AG105" s="328"/>
      <c r="AH105" s="328"/>
      <c r="AI105" s="512"/>
      <c r="AJ105" s="512"/>
      <c r="AK105" s="328"/>
      <c r="AL105" s="328"/>
      <c r="AM105" s="328"/>
      <c r="AN105" s="328"/>
      <c r="AO105" s="328"/>
      <c r="AP105" s="328"/>
      <c r="AQ105" s="328"/>
      <c r="AR105" s="328"/>
      <c r="AS105" s="328"/>
      <c r="AT105" s="328"/>
      <c r="AU105" s="328"/>
      <c r="AV105" s="328"/>
      <c r="AW105" s="328"/>
      <c r="AX105" s="328"/>
      <c r="AY105" s="328"/>
      <c r="AZ105" s="328"/>
      <c r="BA105" s="328"/>
      <c r="BB105" s="328"/>
      <c r="BC105" s="328"/>
      <c r="BD105" s="328"/>
      <c r="BE105" s="328"/>
    </row>
    <row r="106" spans="1:57" ht="16.5" customHeight="1" thickTop="1" x14ac:dyDescent="0.25">
      <c r="A106" s="1093" t="s">
        <v>129</v>
      </c>
      <c r="B106" s="1093"/>
      <c r="C106" s="438"/>
      <c r="D106" s="438"/>
      <c r="E106" s="438"/>
      <c r="F106" s="438"/>
      <c r="G106" s="438"/>
      <c r="H106" s="438"/>
      <c r="I106" s="438"/>
      <c r="J106" s="438"/>
      <c r="K106" s="439"/>
      <c r="L106" s="438"/>
      <c r="M106" s="438"/>
      <c r="N106" s="320"/>
      <c r="Q106" s="866"/>
      <c r="T106" s="866"/>
      <c r="U106" s="866"/>
      <c r="V106" s="866"/>
      <c r="W106" s="866"/>
      <c r="Z106" s="866"/>
      <c r="AA106" s="866"/>
      <c r="AB106" s="866"/>
    </row>
    <row r="107" spans="1:57" ht="16.2" customHeight="1" thickBot="1" x14ac:dyDescent="0.3">
      <c r="A107" s="1093" t="s">
        <v>196</v>
      </c>
      <c r="B107" s="1093"/>
      <c r="C107" s="438"/>
      <c r="D107" s="438"/>
      <c r="E107" s="438"/>
      <c r="F107" s="438"/>
      <c r="G107" s="438"/>
      <c r="H107" s="438"/>
      <c r="I107" s="438"/>
      <c r="J107" s="438"/>
      <c r="K107" s="439"/>
      <c r="L107" s="438"/>
      <c r="M107" s="438"/>
      <c r="N107" s="320"/>
      <c r="Q107" s="866"/>
      <c r="R107" s="640"/>
      <c r="S107" s="640"/>
      <c r="T107" s="326"/>
      <c r="U107" s="326"/>
      <c r="V107" s="326"/>
      <c r="W107" s="326"/>
      <c r="X107" s="326"/>
      <c r="Y107" s="326"/>
      <c r="Z107" s="326"/>
      <c r="AA107" s="326"/>
      <c r="AB107" s="326"/>
      <c r="AC107" s="326"/>
      <c r="AD107" s="326"/>
      <c r="AE107" s="510"/>
      <c r="AF107" s="510"/>
      <c r="AG107" s="326"/>
    </row>
    <row r="108" spans="1:57" ht="16.5" hidden="1" customHeight="1" x14ac:dyDescent="0.25">
      <c r="A108" s="540"/>
      <c r="B108" s="874"/>
      <c r="C108" s="540"/>
      <c r="D108" s="874"/>
      <c r="E108" s="874"/>
      <c r="F108" s="540"/>
      <c r="G108" s="540"/>
      <c r="H108" s="874"/>
      <c r="I108" s="874"/>
      <c r="J108" s="874"/>
      <c r="K108" s="672"/>
      <c r="L108" s="81" t="s">
        <v>194</v>
      </c>
      <c r="M108" s="561"/>
      <c r="N108" s="561"/>
      <c r="Q108" s="866"/>
      <c r="R108" s="640"/>
      <c r="S108" s="640"/>
      <c r="T108" s="326"/>
      <c r="U108" s="326"/>
      <c r="V108" s="326"/>
      <c r="W108" s="326"/>
      <c r="X108" s="326"/>
      <c r="Y108" s="326"/>
      <c r="Z108" s="326"/>
      <c r="AA108" s="326"/>
      <c r="AB108" s="326"/>
      <c r="AC108" s="326"/>
      <c r="AD108" s="326"/>
      <c r="AE108" s="510"/>
      <c r="AF108" s="510"/>
      <c r="AG108" s="326"/>
    </row>
    <row r="109" spans="1:57" ht="16.5" hidden="1" customHeight="1" x14ac:dyDescent="0.25">
      <c r="A109" s="540"/>
      <c r="B109" s="874"/>
      <c r="C109" s="540"/>
      <c r="D109" s="874"/>
      <c r="E109" s="874"/>
      <c r="F109" s="540"/>
      <c r="G109" s="540"/>
      <c r="H109" s="874"/>
      <c r="I109" s="874"/>
      <c r="J109" s="874"/>
      <c r="K109" s="672"/>
      <c r="L109" s="1301"/>
      <c r="M109" s="561"/>
      <c r="N109" s="561"/>
      <c r="Q109" s="866"/>
      <c r="R109" s="640"/>
      <c r="S109" s="640"/>
      <c r="T109" s="326"/>
      <c r="U109" s="326"/>
      <c r="V109" s="326"/>
      <c r="W109" s="326"/>
      <c r="X109" s="326"/>
      <c r="Y109" s="326"/>
      <c r="Z109" s="326"/>
      <c r="AA109" s="326"/>
      <c r="AB109" s="326"/>
      <c r="AC109" s="326"/>
      <c r="AD109" s="326"/>
      <c r="AE109" s="510"/>
      <c r="AF109" s="510"/>
      <c r="AG109" s="326"/>
    </row>
    <row r="110" spans="1:57" ht="16.5" hidden="1" customHeight="1" x14ac:dyDescent="0.25">
      <c r="A110" s="540"/>
      <c r="B110" s="874"/>
      <c r="C110" s="540"/>
      <c r="D110" s="874"/>
      <c r="E110" s="874"/>
      <c r="F110" s="540"/>
      <c r="G110" s="540"/>
      <c r="H110" s="874"/>
      <c r="I110" s="874"/>
      <c r="J110" s="874"/>
      <c r="K110" s="672"/>
      <c r="L110" s="1301">
        <v>75000</v>
      </c>
      <c r="M110" s="561"/>
      <c r="N110" s="561"/>
      <c r="Q110" s="866"/>
      <c r="R110" s="640"/>
      <c r="S110" s="640"/>
      <c r="T110" s="326"/>
      <c r="U110" s="326"/>
      <c r="V110" s="326"/>
      <c r="W110" s="326"/>
      <c r="X110" s="326"/>
      <c r="Y110" s="326"/>
      <c r="Z110" s="326"/>
      <c r="AA110" s="326"/>
      <c r="AB110" s="326"/>
      <c r="AC110" s="326"/>
      <c r="AD110" s="326"/>
      <c r="AE110" s="510"/>
      <c r="AF110" s="510"/>
      <c r="AG110" s="326"/>
    </row>
    <row r="111" spans="1:57" ht="16.5" hidden="1" customHeight="1" x14ac:dyDescent="0.25">
      <c r="A111" s="540"/>
      <c r="B111" s="874"/>
      <c r="C111" s="540"/>
      <c r="D111" s="874"/>
      <c r="E111" s="874"/>
      <c r="F111" s="540"/>
      <c r="G111" s="540"/>
      <c r="H111" s="874"/>
      <c r="I111" s="874"/>
      <c r="J111" s="874"/>
      <c r="K111" s="672"/>
      <c r="L111" s="1301">
        <v>90000</v>
      </c>
      <c r="M111" s="561"/>
      <c r="N111" s="561"/>
      <c r="Q111" s="866"/>
      <c r="R111" s="640"/>
      <c r="S111" s="640"/>
      <c r="T111" s="326"/>
      <c r="U111" s="326"/>
      <c r="V111" s="326"/>
      <c r="W111" s="326"/>
      <c r="X111" s="326"/>
      <c r="Y111" s="326"/>
      <c r="Z111" s="326"/>
      <c r="AA111" s="326"/>
      <c r="AB111" s="326"/>
      <c r="AC111" s="326"/>
      <c r="AD111" s="326"/>
      <c r="AE111" s="510"/>
      <c r="AF111" s="510"/>
      <c r="AG111" s="326"/>
    </row>
    <row r="112" spans="1:57" ht="16.5" hidden="1" customHeight="1" x14ac:dyDescent="0.25">
      <c r="A112" s="540"/>
      <c r="B112" s="874"/>
      <c r="C112" s="540"/>
      <c r="D112" s="874"/>
      <c r="E112" s="874"/>
      <c r="F112" s="540"/>
      <c r="G112" s="540"/>
      <c r="H112" s="874"/>
      <c r="I112" s="874"/>
      <c r="J112" s="874"/>
      <c r="K112" s="672"/>
      <c r="L112" s="1301">
        <v>95000</v>
      </c>
      <c r="M112" s="561"/>
      <c r="N112" s="561"/>
      <c r="Q112" s="866"/>
      <c r="R112" s="640"/>
      <c r="S112" s="640"/>
      <c r="T112" s="326"/>
      <c r="U112" s="326"/>
      <c r="V112" s="326"/>
      <c r="W112" s="326"/>
      <c r="X112" s="326"/>
      <c r="Y112" s="326"/>
      <c r="Z112" s="326"/>
      <c r="AA112" s="326"/>
      <c r="AB112" s="326"/>
      <c r="AC112" s="326"/>
      <c r="AD112" s="326"/>
      <c r="AE112" s="510"/>
      <c r="AF112" s="510"/>
      <c r="AG112" s="326"/>
    </row>
    <row r="113" spans="1:57" ht="16.5" hidden="1" customHeight="1" x14ac:dyDescent="0.25">
      <c r="A113" s="540"/>
      <c r="B113" s="874"/>
      <c r="C113" s="540"/>
      <c r="D113" s="874"/>
      <c r="E113" s="874"/>
      <c r="F113" s="540"/>
      <c r="G113" s="540"/>
      <c r="H113" s="874"/>
      <c r="I113" s="874"/>
      <c r="J113" s="874"/>
      <c r="K113" s="672"/>
      <c r="L113" s="1301">
        <v>100000</v>
      </c>
      <c r="M113" s="561"/>
      <c r="N113" s="561"/>
      <c r="Q113" s="866"/>
      <c r="R113" s="640"/>
      <c r="S113" s="640"/>
      <c r="T113" s="326"/>
      <c r="U113" s="326"/>
      <c r="V113" s="326"/>
      <c r="W113" s="326"/>
      <c r="X113" s="326"/>
      <c r="Y113" s="326"/>
      <c r="Z113" s="326"/>
      <c r="AA113" s="326"/>
      <c r="AB113" s="326"/>
      <c r="AC113" s="326"/>
      <c r="AD113" s="326"/>
      <c r="AE113" s="510"/>
      <c r="AF113" s="510"/>
      <c r="AG113" s="326"/>
    </row>
    <row r="114" spans="1:57" s="867" customFormat="1" ht="16.5" hidden="1" customHeight="1" x14ac:dyDescent="0.25">
      <c r="A114" s="874"/>
      <c r="B114" s="874"/>
      <c r="C114" s="874"/>
      <c r="D114" s="874"/>
      <c r="E114" s="874"/>
      <c r="F114" s="874"/>
      <c r="G114" s="874"/>
      <c r="H114" s="874"/>
      <c r="I114" s="874"/>
      <c r="J114" s="874"/>
      <c r="K114" s="672"/>
      <c r="L114" s="1301">
        <v>185100</v>
      </c>
      <c r="M114" s="561"/>
      <c r="N114" s="561"/>
      <c r="O114" s="326"/>
      <c r="P114" s="326"/>
      <c r="Q114" s="866"/>
      <c r="R114" s="640"/>
      <c r="S114" s="640"/>
      <c r="T114" s="326"/>
      <c r="U114" s="326"/>
      <c r="V114" s="326"/>
      <c r="W114" s="326"/>
      <c r="X114" s="326"/>
      <c r="Y114" s="326"/>
      <c r="Z114" s="326"/>
      <c r="AA114" s="326"/>
      <c r="AB114" s="326"/>
      <c r="AC114" s="326"/>
      <c r="AD114" s="326"/>
      <c r="AE114" s="510"/>
      <c r="AF114" s="510"/>
      <c r="AG114" s="326"/>
      <c r="AH114" s="866"/>
      <c r="AI114" s="868"/>
      <c r="AJ114" s="868"/>
      <c r="AK114" s="866"/>
      <c r="AL114" s="866"/>
      <c r="AM114" s="866"/>
      <c r="AN114" s="866"/>
      <c r="AO114" s="866"/>
      <c r="AP114" s="866"/>
      <c r="AQ114" s="866"/>
      <c r="AR114" s="866"/>
      <c r="AS114" s="866"/>
      <c r="AT114" s="866"/>
      <c r="AU114" s="866"/>
      <c r="AV114" s="866"/>
      <c r="AW114" s="866"/>
      <c r="AX114" s="866"/>
      <c r="AY114" s="866"/>
      <c r="AZ114" s="866"/>
      <c r="BA114" s="866"/>
      <c r="BB114" s="866"/>
      <c r="BC114" s="866"/>
      <c r="BD114" s="866"/>
      <c r="BE114" s="866"/>
    </row>
    <row r="115" spans="1:57" s="867" customFormat="1" ht="16.5" hidden="1" customHeight="1" x14ac:dyDescent="0.25">
      <c r="A115" s="874"/>
      <c r="B115" s="874"/>
      <c r="C115" s="874"/>
      <c r="D115" s="874"/>
      <c r="E115" s="874"/>
      <c r="F115" s="874"/>
      <c r="G115" s="874"/>
      <c r="H115" s="874"/>
      <c r="I115" s="874"/>
      <c r="J115" s="874"/>
      <c r="K115" s="672"/>
      <c r="L115" s="1301">
        <v>187000</v>
      </c>
      <c r="M115" s="561"/>
      <c r="N115" s="561"/>
      <c r="O115" s="326"/>
      <c r="P115" s="326"/>
      <c r="Q115" s="866"/>
      <c r="R115" s="640"/>
      <c r="S115" s="640"/>
      <c r="T115" s="326"/>
      <c r="U115" s="326"/>
      <c r="V115" s="326"/>
      <c r="W115" s="326"/>
      <c r="X115" s="326"/>
      <c r="Y115" s="326"/>
      <c r="Z115" s="326"/>
      <c r="AA115" s="326"/>
      <c r="AB115" s="326"/>
      <c r="AC115" s="326"/>
      <c r="AD115" s="326"/>
      <c r="AE115" s="510"/>
      <c r="AF115" s="510"/>
      <c r="AG115" s="326"/>
      <c r="AH115" s="866"/>
      <c r="AI115" s="868"/>
      <c r="AJ115" s="868"/>
      <c r="AK115" s="866"/>
      <c r="AL115" s="866"/>
      <c r="AM115" s="866"/>
      <c r="AN115" s="866"/>
      <c r="AO115" s="866"/>
      <c r="AP115" s="866"/>
      <c r="AQ115" s="866"/>
      <c r="AR115" s="866"/>
      <c r="AS115" s="866"/>
      <c r="AT115" s="866"/>
      <c r="AU115" s="866"/>
      <c r="AV115" s="866"/>
      <c r="AW115" s="866"/>
      <c r="AX115" s="866"/>
      <c r="AY115" s="866"/>
      <c r="AZ115" s="866"/>
      <c r="BA115" s="866"/>
      <c r="BB115" s="866"/>
      <c r="BC115" s="866"/>
      <c r="BD115" s="866"/>
      <c r="BE115" s="866"/>
    </row>
    <row r="116" spans="1:57" s="867" customFormat="1" ht="16.5" hidden="1" customHeight="1" x14ac:dyDescent="0.25">
      <c r="A116" s="874"/>
      <c r="B116" s="874"/>
      <c r="C116" s="874"/>
      <c r="D116" s="874"/>
      <c r="E116" s="874"/>
      <c r="F116" s="874"/>
      <c r="G116" s="874"/>
      <c r="H116" s="874"/>
      <c r="I116" s="874"/>
      <c r="J116" s="874"/>
      <c r="K116" s="672"/>
      <c r="L116" s="1301">
        <v>189600</v>
      </c>
      <c r="M116" s="561"/>
      <c r="N116" s="561"/>
      <c r="O116" s="326"/>
      <c r="P116" s="326"/>
      <c r="Q116" s="866"/>
      <c r="R116" s="640"/>
      <c r="S116" s="640"/>
      <c r="T116" s="326"/>
      <c r="U116" s="326"/>
      <c r="V116" s="326"/>
      <c r="W116" s="326"/>
      <c r="X116" s="326"/>
      <c r="Y116" s="326"/>
      <c r="Z116" s="326"/>
      <c r="AA116" s="326"/>
      <c r="AB116" s="326"/>
      <c r="AC116" s="326"/>
      <c r="AD116" s="326"/>
      <c r="AE116" s="510"/>
      <c r="AF116" s="510"/>
      <c r="AG116" s="326"/>
      <c r="AH116" s="866"/>
      <c r="AI116" s="868"/>
      <c r="AJ116" s="868"/>
      <c r="AK116" s="866"/>
      <c r="AL116" s="866"/>
      <c r="AM116" s="866"/>
      <c r="AN116" s="866"/>
      <c r="AO116" s="866"/>
      <c r="AP116" s="866"/>
      <c r="AQ116" s="866"/>
      <c r="AR116" s="866"/>
      <c r="AS116" s="866"/>
      <c r="AT116" s="866"/>
      <c r="AU116" s="866"/>
      <c r="AV116" s="866"/>
      <c r="AW116" s="866"/>
      <c r="AX116" s="866"/>
      <c r="AY116" s="866"/>
      <c r="AZ116" s="866"/>
      <c r="BA116" s="866"/>
      <c r="BB116" s="866"/>
      <c r="BC116" s="866"/>
      <c r="BD116" s="866"/>
      <c r="BE116" s="866"/>
    </row>
    <row r="117" spans="1:57" s="867" customFormat="1" ht="16.5" hidden="1" customHeight="1" x14ac:dyDescent="0.25">
      <c r="A117" s="874"/>
      <c r="B117" s="874"/>
      <c r="C117" s="874"/>
      <c r="D117" s="874"/>
      <c r="E117" s="874"/>
      <c r="F117" s="874"/>
      <c r="G117" s="874"/>
      <c r="H117" s="874"/>
      <c r="I117" s="874"/>
      <c r="J117" s="874"/>
      <c r="K117" s="672"/>
      <c r="L117" s="1301">
        <v>192300</v>
      </c>
      <c r="M117" s="561"/>
      <c r="N117" s="561"/>
      <c r="O117" s="326"/>
      <c r="P117" s="326"/>
      <c r="Q117" s="866"/>
      <c r="R117" s="640"/>
      <c r="S117" s="640"/>
      <c r="T117" s="326"/>
      <c r="U117" s="326"/>
      <c r="V117" s="326"/>
      <c r="W117" s="326"/>
      <c r="X117" s="326"/>
      <c r="Y117" s="326"/>
      <c r="Z117" s="326"/>
      <c r="AA117" s="326"/>
      <c r="AB117" s="326"/>
      <c r="AC117" s="326"/>
      <c r="AD117" s="326"/>
      <c r="AE117" s="510"/>
      <c r="AF117" s="510"/>
      <c r="AG117" s="326"/>
      <c r="AH117" s="866"/>
      <c r="AI117" s="868"/>
      <c r="AJ117" s="868"/>
      <c r="AK117" s="866"/>
      <c r="AL117" s="866"/>
      <c r="AM117" s="866"/>
      <c r="AN117" s="866"/>
      <c r="AO117" s="866"/>
      <c r="AP117" s="866"/>
      <c r="AQ117" s="866"/>
      <c r="AR117" s="866"/>
      <c r="AS117" s="866"/>
      <c r="AT117" s="866"/>
      <c r="AU117" s="866"/>
      <c r="AV117" s="866"/>
      <c r="AW117" s="866"/>
      <c r="AX117" s="866"/>
      <c r="AY117" s="866"/>
      <c r="AZ117" s="866"/>
      <c r="BA117" s="866"/>
      <c r="BB117" s="866"/>
      <c r="BC117" s="866"/>
      <c r="BD117" s="866"/>
      <c r="BE117" s="866"/>
    </row>
    <row r="118" spans="1:57" s="867" customFormat="1" ht="16.5" hidden="1" customHeight="1" x14ac:dyDescent="0.25">
      <c r="A118" s="874"/>
      <c r="B118" s="874"/>
      <c r="C118" s="874"/>
      <c r="D118" s="874"/>
      <c r="E118" s="874"/>
      <c r="F118" s="874"/>
      <c r="G118" s="874"/>
      <c r="H118" s="874"/>
      <c r="I118" s="874"/>
      <c r="J118" s="874"/>
      <c r="K118" s="672"/>
      <c r="L118" s="1301">
        <v>197300</v>
      </c>
      <c r="M118" s="561"/>
      <c r="N118" s="561"/>
      <c r="O118" s="326"/>
      <c r="P118" s="326"/>
      <c r="Q118" s="866"/>
      <c r="R118" s="640"/>
      <c r="S118" s="640"/>
      <c r="T118" s="326"/>
      <c r="U118" s="326"/>
      <c r="V118" s="326"/>
      <c r="W118" s="326"/>
      <c r="X118" s="326"/>
      <c r="Y118" s="326"/>
      <c r="Z118" s="326"/>
      <c r="AA118" s="326"/>
      <c r="AB118" s="326"/>
      <c r="AC118" s="326"/>
      <c r="AD118" s="326"/>
      <c r="AE118" s="510"/>
      <c r="AF118" s="510"/>
      <c r="AG118" s="326"/>
      <c r="AH118" s="866"/>
      <c r="AI118" s="868"/>
      <c r="AJ118" s="868"/>
      <c r="AK118" s="866"/>
      <c r="AL118" s="866"/>
      <c r="AM118" s="866"/>
      <c r="AN118" s="866"/>
      <c r="AO118" s="866"/>
      <c r="AP118" s="866"/>
      <c r="AQ118" s="866"/>
      <c r="AR118" s="866"/>
      <c r="AS118" s="866"/>
      <c r="AT118" s="866"/>
      <c r="AU118" s="866"/>
      <c r="AV118" s="866"/>
      <c r="AW118" s="866"/>
      <c r="AX118" s="866"/>
      <c r="AY118" s="866"/>
      <c r="AZ118" s="866"/>
      <c r="BA118" s="866"/>
      <c r="BB118" s="866"/>
      <c r="BC118" s="866"/>
      <c r="BD118" s="866"/>
      <c r="BE118" s="866"/>
    </row>
    <row r="119" spans="1:57" s="867" customFormat="1" ht="16.5" hidden="1" customHeight="1" x14ac:dyDescent="0.25">
      <c r="A119" s="874"/>
      <c r="B119" s="874"/>
      <c r="C119" s="874"/>
      <c r="D119" s="874"/>
      <c r="E119" s="874"/>
      <c r="F119" s="874"/>
      <c r="G119" s="874"/>
      <c r="H119" s="874"/>
      <c r="I119" s="874"/>
      <c r="J119" s="874"/>
      <c r="K119" s="672"/>
      <c r="L119" s="1301">
        <v>199300</v>
      </c>
      <c r="M119" s="561"/>
      <c r="N119" s="561"/>
      <c r="O119" s="326"/>
      <c r="P119" s="326"/>
      <c r="Q119" s="866"/>
      <c r="R119" s="640"/>
      <c r="S119" s="640"/>
      <c r="T119" s="326"/>
      <c r="U119" s="326"/>
      <c r="V119" s="326"/>
      <c r="W119" s="326"/>
      <c r="X119" s="326"/>
      <c r="Y119" s="326"/>
      <c r="Z119" s="326"/>
      <c r="AA119" s="326"/>
      <c r="AB119" s="326"/>
      <c r="AC119" s="326"/>
      <c r="AD119" s="326"/>
      <c r="AE119" s="510"/>
      <c r="AF119" s="510"/>
      <c r="AG119" s="326"/>
      <c r="AH119" s="866"/>
      <c r="AI119" s="868"/>
      <c r="AJ119" s="868"/>
      <c r="AK119" s="866"/>
      <c r="AL119" s="866"/>
      <c r="AM119" s="866"/>
      <c r="AN119" s="866"/>
      <c r="AO119" s="866"/>
      <c r="AP119" s="866"/>
      <c r="AQ119" s="866"/>
      <c r="AR119" s="866"/>
      <c r="AS119" s="866"/>
      <c r="AT119" s="866"/>
      <c r="AU119" s="866"/>
      <c r="AV119" s="866"/>
      <c r="AW119" s="866"/>
      <c r="AX119" s="866"/>
      <c r="AY119" s="866"/>
      <c r="AZ119" s="866"/>
      <c r="BA119" s="866"/>
      <c r="BB119" s="866"/>
      <c r="BC119" s="866"/>
      <c r="BD119" s="866"/>
      <c r="BE119" s="866"/>
    </row>
    <row r="120" spans="1:57" s="867" customFormat="1" ht="16.5" hidden="1" customHeight="1" x14ac:dyDescent="0.25">
      <c r="A120" s="874"/>
      <c r="B120" s="874"/>
      <c r="C120" s="874"/>
      <c r="D120" s="874"/>
      <c r="E120" s="874"/>
      <c r="F120" s="874"/>
      <c r="G120" s="874"/>
      <c r="H120" s="874"/>
      <c r="I120" s="874"/>
      <c r="J120" s="874"/>
      <c r="K120" s="672"/>
      <c r="L120" s="1301">
        <v>203700</v>
      </c>
      <c r="M120" s="561"/>
      <c r="N120" s="561"/>
      <c r="O120" s="326"/>
      <c r="P120" s="326"/>
      <c r="Q120" s="866"/>
      <c r="R120" s="640"/>
      <c r="S120" s="640"/>
      <c r="T120" s="326"/>
      <c r="U120" s="326"/>
      <c r="V120" s="326"/>
      <c r="W120" s="326"/>
      <c r="X120" s="326"/>
      <c r="Y120" s="326"/>
      <c r="Z120" s="326"/>
      <c r="AA120" s="326"/>
      <c r="AB120" s="326"/>
      <c r="AC120" s="326"/>
      <c r="AD120" s="326"/>
      <c r="AE120" s="510"/>
      <c r="AF120" s="510"/>
      <c r="AG120" s="326"/>
      <c r="AH120" s="866"/>
      <c r="AI120" s="868"/>
      <c r="AJ120" s="868"/>
      <c r="AK120" s="866"/>
      <c r="AL120" s="866"/>
      <c r="AM120" s="866"/>
      <c r="AN120" s="866"/>
      <c r="AO120" s="866"/>
      <c r="AP120" s="866"/>
      <c r="AQ120" s="866"/>
      <c r="AR120" s="866"/>
      <c r="AS120" s="866"/>
      <c r="AT120" s="866"/>
      <c r="AU120" s="866"/>
      <c r="AV120" s="866"/>
      <c r="AW120" s="866"/>
      <c r="AX120" s="866"/>
      <c r="AY120" s="866"/>
      <c r="AZ120" s="866"/>
      <c r="BA120" s="866"/>
      <c r="BB120" s="866"/>
      <c r="BC120" s="866"/>
      <c r="BD120" s="866"/>
      <c r="BE120" s="866"/>
    </row>
    <row r="121" spans="1:57" ht="16.5" hidden="1" customHeight="1" thickBot="1" x14ac:dyDescent="0.3">
      <c r="A121" s="540"/>
      <c r="B121" s="874"/>
      <c r="C121" s="540"/>
      <c r="D121" s="874"/>
      <c r="E121" s="874"/>
      <c r="F121" s="540"/>
      <c r="G121" s="540"/>
      <c r="H121" s="874"/>
      <c r="I121" s="874"/>
      <c r="J121" s="874"/>
      <c r="K121" s="672"/>
      <c r="L121" s="1301">
        <v>212100</v>
      </c>
      <c r="M121" s="561"/>
      <c r="N121" s="561"/>
      <c r="Q121" s="866"/>
      <c r="R121" s="640"/>
      <c r="S121" s="640"/>
      <c r="T121" s="326"/>
      <c r="U121" s="326"/>
      <c r="V121" s="326"/>
      <c r="W121" s="326"/>
      <c r="X121" s="326"/>
      <c r="Y121" s="326"/>
      <c r="Z121" s="326"/>
      <c r="AA121" s="326"/>
      <c r="AB121" s="326"/>
      <c r="AC121" s="326"/>
      <c r="AD121" s="326"/>
      <c r="AE121" s="510"/>
      <c r="AF121" s="510"/>
      <c r="AG121" s="326"/>
    </row>
    <row r="122" spans="1:57" s="15" customFormat="1" ht="15" customHeight="1" thickTop="1" thickBot="1" x14ac:dyDescent="0.3">
      <c r="A122" s="1093" t="s">
        <v>197</v>
      </c>
      <c r="B122" s="1093"/>
      <c r="C122" s="438"/>
      <c r="D122" s="438"/>
      <c r="E122" s="438"/>
      <c r="F122" s="438"/>
      <c r="G122" s="438"/>
      <c r="H122" s="438"/>
      <c r="I122" s="438"/>
      <c r="J122" s="438"/>
      <c r="K122" s="439"/>
      <c r="L122" s="455"/>
      <c r="M122" s="438"/>
      <c r="N122" s="320"/>
      <c r="O122" s="326"/>
      <c r="P122" s="326"/>
      <c r="Q122" s="328"/>
      <c r="R122" s="640"/>
      <c r="S122" s="640"/>
      <c r="T122" s="326"/>
      <c r="U122" s="326"/>
      <c r="V122" s="326"/>
      <c r="W122" s="326"/>
      <c r="X122" s="326"/>
      <c r="Y122" s="326"/>
      <c r="Z122" s="326"/>
      <c r="AA122" s="326"/>
      <c r="AB122" s="326"/>
      <c r="AC122" s="326"/>
      <c r="AD122" s="326"/>
      <c r="AE122" s="510"/>
      <c r="AF122" s="510"/>
      <c r="AG122" s="326"/>
      <c r="AH122" s="328"/>
      <c r="AI122" s="512"/>
      <c r="AJ122" s="512"/>
      <c r="AK122" s="328"/>
      <c r="AL122" s="328"/>
      <c r="AM122" s="328"/>
      <c r="AN122" s="328"/>
      <c r="AO122" s="328"/>
      <c r="AP122" s="328"/>
      <c r="AQ122" s="328"/>
      <c r="AR122" s="328"/>
      <c r="AS122" s="328"/>
      <c r="AT122" s="328"/>
      <c r="AU122" s="328"/>
      <c r="AV122" s="328"/>
      <c r="AW122" s="328"/>
      <c r="AX122" s="328"/>
      <c r="AY122" s="328"/>
      <c r="AZ122" s="328"/>
      <c r="BA122" s="328"/>
      <c r="BB122" s="328"/>
      <c r="BC122" s="328"/>
      <c r="BD122" s="328"/>
      <c r="BE122" s="328"/>
    </row>
    <row r="123" spans="1:57" s="15" customFormat="1" ht="15" customHeight="1" thickTop="1" thickBot="1" x14ac:dyDescent="0.3">
      <c r="A123" s="443"/>
      <c r="B123" s="443"/>
      <c r="C123" s="453"/>
      <c r="D123" s="453"/>
      <c r="E123" s="453"/>
      <c r="F123" s="328"/>
      <c r="G123" s="328"/>
      <c r="H123" s="328"/>
      <c r="I123" s="328"/>
      <c r="J123" s="328"/>
      <c r="K123" s="328"/>
      <c r="L123" s="328"/>
      <c r="M123" s="328"/>
      <c r="N123" s="328"/>
      <c r="O123" s="326"/>
      <c r="P123" s="326"/>
      <c r="Q123" s="328"/>
      <c r="R123" s="640"/>
      <c r="S123" s="640"/>
      <c r="T123" s="326"/>
      <c r="U123" s="326"/>
      <c r="V123" s="326"/>
      <c r="W123" s="326"/>
      <c r="X123" s="326"/>
      <c r="Y123" s="326"/>
      <c r="Z123" s="326"/>
      <c r="AA123" s="326"/>
      <c r="AB123" s="326"/>
      <c r="AC123" s="326"/>
      <c r="AD123" s="326"/>
      <c r="AE123" s="510"/>
      <c r="AF123" s="510"/>
      <c r="AG123" s="326"/>
      <c r="AH123" s="328"/>
      <c r="AI123" s="512"/>
      <c r="AJ123" s="512"/>
      <c r="AK123" s="328"/>
      <c r="AL123" s="328"/>
      <c r="AM123" s="328"/>
      <c r="AN123" s="328"/>
      <c r="AO123" s="328"/>
      <c r="AP123" s="328"/>
      <c r="AQ123" s="328"/>
      <c r="AR123" s="328"/>
      <c r="AS123" s="328"/>
      <c r="AT123" s="328"/>
      <c r="AU123" s="328"/>
      <c r="AV123" s="328"/>
      <c r="AW123" s="328"/>
      <c r="AX123" s="328"/>
      <c r="AY123" s="328"/>
      <c r="AZ123" s="328"/>
      <c r="BA123" s="328"/>
      <c r="BB123" s="328"/>
      <c r="BC123" s="328"/>
      <c r="BD123" s="328"/>
      <c r="BE123" s="328"/>
    </row>
    <row r="124" spans="1:57" ht="15" thickTop="1" thickBot="1" x14ac:dyDescent="0.3">
      <c r="A124" s="1226" t="s">
        <v>424</v>
      </c>
      <c r="B124" s="1226"/>
      <c r="C124" s="319"/>
      <c r="D124" s="319"/>
      <c r="E124" s="319"/>
      <c r="F124" s="320"/>
      <c r="G124" s="320"/>
      <c r="H124" s="321" t="s">
        <v>60</v>
      </c>
      <c r="I124" s="320"/>
      <c r="J124" s="320"/>
      <c r="K124" s="320"/>
      <c r="L124" s="320"/>
      <c r="M124" s="320"/>
      <c r="N124" s="456" t="s">
        <v>104</v>
      </c>
      <c r="O124" s="744"/>
      <c r="P124" s="744"/>
      <c r="Q124" s="866"/>
      <c r="R124" s="640"/>
      <c r="S124" s="640"/>
      <c r="T124" s="326"/>
      <c r="U124" s="326"/>
      <c r="V124" s="326"/>
      <c r="W124" s="326"/>
      <c r="X124" s="326"/>
      <c r="Y124" s="326"/>
      <c r="Z124" s="326"/>
      <c r="AA124" s="326"/>
      <c r="AB124" s="326"/>
      <c r="AC124" s="326"/>
      <c r="AD124" s="326"/>
      <c r="AE124" s="510"/>
      <c r="AF124" s="510"/>
      <c r="AG124" s="326"/>
    </row>
    <row r="125" spans="1:57" ht="20.25" customHeight="1" thickTop="1" x14ac:dyDescent="0.25">
      <c r="A125" s="1226" t="s">
        <v>126</v>
      </c>
      <c r="B125" s="1226"/>
      <c r="C125" s="319"/>
      <c r="D125" s="319"/>
      <c r="E125" s="319"/>
      <c r="F125" s="320"/>
      <c r="G125" s="320"/>
      <c r="H125" s="320"/>
      <c r="I125" s="320"/>
      <c r="J125" s="320"/>
      <c r="K125" s="320"/>
      <c r="L125" s="320"/>
      <c r="M125" s="320"/>
      <c r="N125" s="438"/>
      <c r="O125" s="522"/>
      <c r="P125" s="522"/>
      <c r="Q125" s="866"/>
      <c r="R125" s="640"/>
      <c r="S125" s="640"/>
      <c r="T125" s="326"/>
      <c r="U125" s="326"/>
      <c r="V125" s="326"/>
      <c r="W125" s="326"/>
      <c r="X125" s="326"/>
      <c r="Y125" s="326"/>
      <c r="Z125" s="326"/>
      <c r="AA125" s="326"/>
      <c r="AB125" s="326"/>
      <c r="AC125" s="326"/>
      <c r="AD125" s="326"/>
      <c r="AE125" s="510"/>
      <c r="AF125" s="510"/>
      <c r="AG125" s="326"/>
    </row>
    <row r="126" spans="1:57" x14ac:dyDescent="0.25">
      <c r="A126" s="1226" t="s">
        <v>130</v>
      </c>
      <c r="B126" s="1226"/>
      <c r="C126" s="320"/>
      <c r="D126" s="320"/>
      <c r="E126" s="320"/>
      <c r="F126" s="320"/>
      <c r="G126" s="320"/>
      <c r="H126" s="320"/>
      <c r="I126" s="320"/>
      <c r="J126" s="320"/>
      <c r="K126" s="320"/>
      <c r="L126" s="320"/>
      <c r="M126" s="320"/>
      <c r="N126" s="320"/>
      <c r="Q126" s="866"/>
      <c r="T126" s="866"/>
      <c r="U126" s="866"/>
      <c r="V126" s="866"/>
      <c r="W126" s="866"/>
      <c r="Z126" s="866"/>
      <c r="AA126" s="866"/>
      <c r="AB126" s="866"/>
    </row>
    <row r="127" spans="1:57" ht="14.4" thickBot="1" x14ac:dyDescent="0.3">
      <c r="A127" s="1226" t="s">
        <v>166</v>
      </c>
      <c r="B127" s="1226"/>
      <c r="C127" s="320"/>
      <c r="D127" s="320"/>
      <c r="E127" s="320"/>
      <c r="F127" s="320"/>
      <c r="G127" s="320"/>
      <c r="H127" s="320"/>
      <c r="I127" s="320"/>
      <c r="J127" s="320"/>
      <c r="K127" s="320"/>
      <c r="L127" s="320"/>
      <c r="M127" s="320"/>
      <c r="N127" s="320"/>
      <c r="Q127" s="866"/>
      <c r="T127" s="866"/>
      <c r="U127" s="866"/>
      <c r="V127" s="866"/>
      <c r="W127" s="866"/>
      <c r="Z127" s="866"/>
      <c r="AA127" s="866"/>
      <c r="AB127" s="866"/>
    </row>
    <row r="128" spans="1:57" ht="15" thickTop="1" thickBot="1" x14ac:dyDescent="0.3">
      <c r="A128" s="1226" t="s">
        <v>501</v>
      </c>
      <c r="B128" s="1226"/>
      <c r="C128" s="320"/>
      <c r="D128" s="320"/>
      <c r="E128" s="320"/>
      <c r="F128" s="320"/>
      <c r="G128" s="320"/>
      <c r="H128" s="320"/>
      <c r="I128" s="320"/>
      <c r="J128" s="320"/>
      <c r="K128" s="320"/>
      <c r="L128" s="320"/>
      <c r="M128" s="320"/>
      <c r="N128" s="457"/>
      <c r="O128" s="745"/>
      <c r="P128" s="745"/>
      <c r="Q128" s="866"/>
      <c r="T128" s="866"/>
      <c r="U128" s="866"/>
      <c r="V128" s="866"/>
      <c r="W128" s="866"/>
      <c r="Z128" s="866"/>
      <c r="AA128" s="866"/>
      <c r="AB128" s="866"/>
    </row>
    <row r="129" spans="1:57" s="867" customFormat="1" ht="14.4" thickTop="1" x14ac:dyDescent="0.25">
      <c r="A129" s="1226" t="s">
        <v>500</v>
      </c>
      <c r="B129" s="1226"/>
      <c r="C129" s="320"/>
      <c r="D129" s="320"/>
      <c r="E129" s="320"/>
      <c r="F129" s="320"/>
      <c r="G129" s="320"/>
      <c r="H129" s="320"/>
      <c r="I129" s="320"/>
      <c r="J129" s="320"/>
      <c r="K129" s="320"/>
      <c r="L129" s="320"/>
      <c r="M129" s="320"/>
      <c r="N129" s="320"/>
      <c r="O129" s="745"/>
      <c r="P129" s="745"/>
      <c r="Q129" s="866"/>
      <c r="R129" s="642"/>
      <c r="S129" s="642"/>
      <c r="T129" s="866"/>
      <c r="U129" s="866"/>
      <c r="V129" s="866"/>
      <c r="W129" s="866"/>
      <c r="X129" s="866"/>
      <c r="Y129" s="866"/>
      <c r="Z129" s="866"/>
      <c r="AA129" s="866"/>
      <c r="AB129" s="866"/>
      <c r="AC129" s="866"/>
      <c r="AD129" s="866"/>
      <c r="AE129" s="868"/>
      <c r="AF129" s="868"/>
      <c r="AG129" s="866"/>
      <c r="AH129" s="866"/>
      <c r="AI129" s="868"/>
      <c r="AJ129" s="868"/>
      <c r="AK129" s="866"/>
      <c r="AL129" s="866"/>
      <c r="AM129" s="866"/>
      <c r="AN129" s="866"/>
      <c r="AO129" s="866"/>
      <c r="AP129" s="866"/>
      <c r="AQ129" s="866"/>
      <c r="AR129" s="866"/>
      <c r="AS129" s="866"/>
      <c r="AT129" s="866"/>
      <c r="AU129" s="866"/>
      <c r="AV129" s="866"/>
      <c r="AW129" s="866"/>
      <c r="AX129" s="866"/>
      <c r="AY129" s="866"/>
      <c r="AZ129" s="866"/>
      <c r="BA129" s="866"/>
      <c r="BB129" s="866"/>
      <c r="BC129" s="866"/>
      <c r="BD129" s="866"/>
      <c r="BE129" s="866"/>
    </row>
    <row r="130" spans="1:57" s="867" customFormat="1" ht="26.1" customHeight="1" thickBot="1" x14ac:dyDescent="0.4">
      <c r="A130" s="1227" t="s">
        <v>549</v>
      </c>
      <c r="B130" s="1227"/>
      <c r="C130" s="627"/>
      <c r="D130" s="627"/>
      <c r="E130" s="627"/>
      <c r="F130" s="627"/>
      <c r="G130" s="627"/>
      <c r="H130" s="627"/>
      <c r="I130" s="627"/>
      <c r="J130" s="627"/>
      <c r="K130" s="627"/>
      <c r="L130" s="629"/>
      <c r="M130" s="629"/>
      <c r="N130" s="629"/>
      <c r="O130" s="189"/>
      <c r="P130" s="189"/>
      <c r="Q130" s="866"/>
      <c r="R130" s="642"/>
      <c r="S130" s="642"/>
      <c r="T130" s="866"/>
      <c r="U130" s="866"/>
      <c r="V130" s="866"/>
      <c r="W130" s="866"/>
      <c r="X130" s="866"/>
      <c r="Y130" s="866"/>
      <c r="Z130" s="866"/>
      <c r="AA130" s="866"/>
      <c r="AB130" s="866"/>
      <c r="AD130" s="866"/>
      <c r="AE130" s="868"/>
      <c r="AF130" s="868"/>
      <c r="AG130" s="866"/>
      <c r="AH130" s="866"/>
      <c r="AI130" s="868"/>
      <c r="AJ130" s="868"/>
    </row>
    <row r="131" spans="1:57" ht="15.6" thickTop="1" thickBot="1" x14ac:dyDescent="0.35">
      <c r="A131" s="1226" t="s">
        <v>425</v>
      </c>
      <c r="B131" s="1226"/>
      <c r="C131" s="319"/>
      <c r="D131" s="319"/>
      <c r="E131" s="319"/>
      <c r="F131" s="320"/>
      <c r="G131" s="320"/>
      <c r="H131" s="321" t="s">
        <v>60</v>
      </c>
      <c r="I131" s="320"/>
      <c r="J131" s="320"/>
      <c r="K131" s="458"/>
      <c r="L131" s="1240"/>
      <c r="M131" s="320"/>
      <c r="N131" s="1094" t="s">
        <v>266</v>
      </c>
      <c r="O131" s="522"/>
      <c r="P131" s="522"/>
      <c r="Q131" s="866"/>
      <c r="T131" s="866"/>
      <c r="U131" s="866"/>
      <c r="V131" s="866"/>
      <c r="W131" s="866"/>
      <c r="Z131" s="866"/>
      <c r="AA131" s="866"/>
      <c r="AB131" s="866"/>
    </row>
    <row r="132" spans="1:57" ht="14.4" thickTop="1" x14ac:dyDescent="0.25">
      <c r="A132" s="1226" t="s">
        <v>127</v>
      </c>
      <c r="B132" s="1226"/>
      <c r="C132" s="319"/>
      <c r="D132" s="319"/>
      <c r="E132" s="319"/>
      <c r="F132" s="320"/>
      <c r="G132" s="320"/>
      <c r="H132" s="320"/>
      <c r="I132" s="320"/>
      <c r="J132" s="320"/>
      <c r="K132" s="320"/>
      <c r="L132" s="438"/>
      <c r="M132" s="320"/>
      <c r="N132" s="438"/>
      <c r="O132" s="522"/>
      <c r="P132" s="522"/>
      <c r="Q132" s="866"/>
      <c r="T132" s="866"/>
      <c r="U132" s="866"/>
      <c r="V132" s="866"/>
      <c r="W132" s="866"/>
      <c r="Z132" s="866"/>
      <c r="AA132" s="866"/>
      <c r="AB132" s="866"/>
      <c r="AE132" s="230"/>
      <c r="AF132" s="230"/>
      <c r="AI132" s="230"/>
      <c r="AJ132" s="230"/>
    </row>
    <row r="133" spans="1:57" x14ac:dyDescent="0.25">
      <c r="A133" s="1226" t="s">
        <v>337</v>
      </c>
      <c r="B133" s="1226"/>
      <c r="C133" s="319"/>
      <c r="D133" s="319"/>
      <c r="E133" s="319"/>
      <c r="F133" s="320"/>
      <c r="G133" s="320"/>
      <c r="H133" s="320"/>
      <c r="I133" s="320"/>
      <c r="J133" s="320"/>
      <c r="K133" s="320"/>
      <c r="L133" s="438"/>
      <c r="M133" s="320"/>
      <c r="N133" s="438"/>
      <c r="O133" s="522"/>
      <c r="P133" s="522"/>
      <c r="Q133" s="866"/>
      <c r="T133" s="866"/>
      <c r="U133" s="866"/>
      <c r="V133" s="866"/>
      <c r="W133" s="866"/>
      <c r="Z133" s="866"/>
      <c r="AA133" s="866"/>
      <c r="AB133" s="866"/>
      <c r="AE133" s="230"/>
      <c r="AF133" s="230"/>
      <c r="AI133" s="230"/>
      <c r="AJ133" s="230"/>
    </row>
    <row r="134" spans="1:57" x14ac:dyDescent="0.25">
      <c r="A134" s="1226" t="s">
        <v>338</v>
      </c>
      <c r="B134" s="1226"/>
      <c r="C134" s="319"/>
      <c r="D134" s="319"/>
      <c r="E134" s="319"/>
      <c r="F134" s="320"/>
      <c r="G134" s="320"/>
      <c r="H134" s="320"/>
      <c r="I134" s="320"/>
      <c r="J134" s="320"/>
      <c r="K134" s="320"/>
      <c r="L134" s="438"/>
      <c r="M134" s="320"/>
      <c r="N134" s="438"/>
      <c r="O134" s="522"/>
      <c r="P134" s="522"/>
      <c r="Q134" s="866"/>
      <c r="T134" s="866"/>
      <c r="U134" s="866"/>
      <c r="V134" s="866"/>
      <c r="W134" s="866"/>
      <c r="Z134" s="866"/>
      <c r="AA134" s="866"/>
      <c r="AB134" s="866"/>
      <c r="AE134" s="230"/>
      <c r="AF134" s="230"/>
      <c r="AI134" s="230"/>
      <c r="AJ134" s="230"/>
    </row>
    <row r="135" spans="1:57" ht="14.4" thickBot="1" x14ac:dyDescent="0.3">
      <c r="A135" s="453"/>
      <c r="B135" s="453"/>
      <c r="C135" s="453"/>
      <c r="D135" s="453"/>
      <c r="E135" s="453"/>
      <c r="F135" s="328"/>
      <c r="G135" s="328"/>
      <c r="H135" s="328"/>
      <c r="I135" s="328"/>
      <c r="J135" s="328"/>
      <c r="K135" s="328"/>
      <c r="L135" s="328"/>
      <c r="M135" s="328"/>
      <c r="N135" s="443"/>
      <c r="O135" s="522"/>
      <c r="P135" s="522"/>
      <c r="Q135" s="866"/>
      <c r="T135" s="866"/>
      <c r="U135" s="866"/>
      <c r="V135" s="866"/>
      <c r="W135" s="866"/>
      <c r="Z135" s="866"/>
      <c r="AA135" s="866"/>
      <c r="AB135" s="866"/>
    </row>
    <row r="136" spans="1:57" ht="15.6" thickTop="1" thickBot="1" x14ac:dyDescent="0.35">
      <c r="A136" s="1226" t="s">
        <v>516</v>
      </c>
      <c r="B136" s="1226"/>
      <c r="C136" s="319"/>
      <c r="D136" s="319"/>
      <c r="E136" s="319"/>
      <c r="F136" s="320"/>
      <c r="G136" s="320"/>
      <c r="H136" s="321">
        <v>0</v>
      </c>
      <c r="I136" s="320"/>
      <c r="J136" s="458"/>
      <c r="K136" s="458"/>
      <c r="L136" s="320"/>
      <c r="M136" s="320"/>
      <c r="N136" s="1094" t="s">
        <v>266</v>
      </c>
      <c r="O136" s="522"/>
      <c r="P136" s="522"/>
      <c r="Q136" s="866"/>
      <c r="T136" s="866"/>
      <c r="U136" s="866"/>
      <c r="V136" s="866"/>
      <c r="W136" s="866"/>
      <c r="Z136" s="866"/>
      <c r="AA136" s="866"/>
      <c r="AB136" s="866"/>
    </row>
    <row r="137" spans="1:57" ht="14.4" hidden="1" thickTop="1" x14ac:dyDescent="0.25">
      <c r="A137" s="539"/>
      <c r="B137" s="539"/>
      <c r="C137" s="539"/>
      <c r="D137" s="539"/>
      <c r="E137" s="539"/>
      <c r="F137" s="539"/>
      <c r="G137" s="539"/>
      <c r="H137" s="539"/>
      <c r="I137" s="539"/>
      <c r="J137" s="561"/>
      <c r="K137" s="561"/>
      <c r="L137" s="561"/>
      <c r="M137" s="674" t="s">
        <v>70</v>
      </c>
      <c r="N137" s="675" t="s">
        <v>62</v>
      </c>
      <c r="O137" s="746"/>
      <c r="P137" s="746"/>
      <c r="Q137" s="866"/>
      <c r="T137" s="866"/>
      <c r="U137" s="866"/>
      <c r="V137" s="866"/>
      <c r="W137" s="866"/>
      <c r="Z137" s="866"/>
      <c r="AA137" s="866"/>
      <c r="AB137" s="866"/>
    </row>
    <row r="138" spans="1:57" ht="14.4" hidden="1" thickTop="1" x14ac:dyDescent="0.25">
      <c r="A138" s="539"/>
      <c r="B138" s="539"/>
      <c r="C138" s="539"/>
      <c r="D138" s="539"/>
      <c r="E138" s="539"/>
      <c r="F138" s="539"/>
      <c r="G138" s="539"/>
      <c r="H138" s="539"/>
      <c r="I138" s="539"/>
      <c r="J138" s="561"/>
      <c r="K138" s="561"/>
      <c r="L138" s="561"/>
      <c r="M138" s="676">
        <v>0</v>
      </c>
      <c r="N138" s="677">
        <f>IF($H$136=0, 0,0)</f>
        <v>0</v>
      </c>
      <c r="O138" s="747"/>
      <c r="P138" s="747"/>
      <c r="Q138" s="866"/>
      <c r="T138" s="866"/>
      <c r="U138" s="866"/>
      <c r="V138" s="866"/>
      <c r="W138" s="866"/>
      <c r="Z138" s="866"/>
      <c r="AA138" s="866"/>
      <c r="AB138" s="866"/>
    </row>
    <row r="139" spans="1:57" ht="14.4" hidden="1" thickTop="1" x14ac:dyDescent="0.25">
      <c r="A139" s="539"/>
      <c r="B139" s="539"/>
      <c r="C139" s="539"/>
      <c r="D139" s="539"/>
      <c r="E139" s="539"/>
      <c r="F139" s="539"/>
      <c r="G139" s="539"/>
      <c r="H139" s="539"/>
      <c r="I139" s="539"/>
      <c r="J139" s="561"/>
      <c r="K139" s="561"/>
      <c r="L139" s="561"/>
      <c r="M139" s="676">
        <v>1</v>
      </c>
      <c r="N139" s="677">
        <f>IF($H$136=1, 25000,0)</f>
        <v>0</v>
      </c>
      <c r="O139" s="747"/>
      <c r="P139" s="747"/>
      <c r="Q139" s="866"/>
      <c r="T139" s="866"/>
      <c r="U139" s="866"/>
      <c r="V139" s="866"/>
      <c r="W139" s="866"/>
      <c r="Z139" s="866"/>
      <c r="AA139" s="866"/>
      <c r="AB139" s="866"/>
    </row>
    <row r="140" spans="1:57" ht="14.4" hidden="1" thickTop="1" x14ac:dyDescent="0.25">
      <c r="A140" s="539"/>
      <c r="B140" s="539"/>
      <c r="C140" s="539"/>
      <c r="D140" s="539"/>
      <c r="E140" s="539"/>
      <c r="F140" s="539"/>
      <c r="G140" s="539"/>
      <c r="H140" s="539"/>
      <c r="I140" s="539"/>
      <c r="J140" s="561"/>
      <c r="K140" s="561"/>
      <c r="L140" s="561"/>
      <c r="M140" s="676">
        <v>2</v>
      </c>
      <c r="N140" s="677">
        <f>IF($H$136=2, 50000,0)</f>
        <v>0</v>
      </c>
      <c r="O140" s="747"/>
      <c r="P140" s="747"/>
      <c r="Q140" s="866"/>
      <c r="T140" s="866"/>
      <c r="U140" s="866"/>
      <c r="V140" s="866"/>
      <c r="W140" s="866"/>
      <c r="Z140" s="866"/>
      <c r="AA140" s="866"/>
      <c r="AB140" s="866"/>
    </row>
    <row r="141" spans="1:57" ht="14.4" hidden="1" thickTop="1" x14ac:dyDescent="0.25">
      <c r="A141" s="539"/>
      <c r="B141" s="539"/>
      <c r="C141" s="539"/>
      <c r="D141" s="539"/>
      <c r="E141" s="539"/>
      <c r="F141" s="539"/>
      <c r="G141" s="539"/>
      <c r="H141" s="539"/>
      <c r="I141" s="539"/>
      <c r="J141" s="561"/>
      <c r="K141" s="561"/>
      <c r="L141" s="561"/>
      <c r="M141" s="676">
        <v>3</v>
      </c>
      <c r="N141" s="677">
        <f>IF($H$136=3, 75000,0)</f>
        <v>0</v>
      </c>
      <c r="O141" s="747"/>
      <c r="P141" s="747"/>
      <c r="Q141" s="866"/>
      <c r="T141" s="866"/>
      <c r="U141" s="866"/>
      <c r="V141" s="866"/>
      <c r="W141" s="866"/>
      <c r="Z141" s="866"/>
      <c r="AA141" s="866"/>
      <c r="AB141" s="866"/>
    </row>
    <row r="142" spans="1:57" ht="13.5" hidden="1" customHeight="1" x14ac:dyDescent="0.25">
      <c r="A142" s="539"/>
      <c r="B142" s="539"/>
      <c r="C142" s="539"/>
      <c r="D142" s="539"/>
      <c r="E142" s="539"/>
      <c r="F142" s="539"/>
      <c r="G142" s="539"/>
      <c r="H142" s="539"/>
      <c r="I142" s="539"/>
      <c r="J142" s="561"/>
      <c r="K142" s="561"/>
      <c r="L142" s="561"/>
      <c r="M142" s="676">
        <v>4</v>
      </c>
      <c r="N142" s="677">
        <f>IF($H$136=4, 100000,0)</f>
        <v>0</v>
      </c>
      <c r="O142" s="747"/>
      <c r="P142" s="747"/>
      <c r="Q142" s="866"/>
      <c r="T142" s="866"/>
      <c r="U142" s="866"/>
      <c r="V142" s="866"/>
      <c r="W142" s="866"/>
      <c r="Z142" s="866"/>
      <c r="AA142" s="866"/>
      <c r="AB142" s="866"/>
    </row>
    <row r="143" spans="1:57" ht="13.5" hidden="1" customHeight="1" x14ac:dyDescent="0.25">
      <c r="A143" s="539"/>
      <c r="B143" s="539"/>
      <c r="C143" s="539"/>
      <c r="D143" s="539"/>
      <c r="E143" s="539"/>
      <c r="F143" s="539"/>
      <c r="G143" s="539"/>
      <c r="H143" s="539"/>
      <c r="I143" s="539"/>
      <c r="J143" s="561"/>
      <c r="K143" s="561"/>
      <c r="L143" s="561"/>
      <c r="M143" s="676">
        <v>5</v>
      </c>
      <c r="N143" s="677">
        <f>IF($H$136=5, 125000,0)</f>
        <v>0</v>
      </c>
      <c r="O143" s="747"/>
      <c r="P143" s="747"/>
      <c r="Q143" s="866"/>
      <c r="T143" s="866"/>
      <c r="U143" s="866"/>
      <c r="V143" s="866"/>
      <c r="W143" s="866"/>
      <c r="Z143" s="866"/>
      <c r="AA143" s="866"/>
      <c r="AB143" s="866"/>
    </row>
    <row r="144" spans="1:57" ht="14.4" hidden="1" thickTop="1" x14ac:dyDescent="0.25">
      <c r="A144" s="539"/>
      <c r="B144" s="539"/>
      <c r="C144" s="539"/>
      <c r="D144" s="539"/>
      <c r="E144" s="539"/>
      <c r="F144" s="539"/>
      <c r="G144" s="539"/>
      <c r="H144" s="539"/>
      <c r="I144" s="539"/>
      <c r="J144" s="561"/>
      <c r="K144" s="561"/>
      <c r="L144" s="561"/>
      <c r="M144" s="676">
        <v>6</v>
      </c>
      <c r="N144" s="677">
        <f>IF($H$136=6, 150000,0)</f>
        <v>0</v>
      </c>
      <c r="O144" s="747"/>
      <c r="P144" s="747"/>
      <c r="Q144" s="866"/>
      <c r="T144" s="866"/>
      <c r="U144" s="866"/>
      <c r="V144" s="866"/>
      <c r="W144" s="866"/>
      <c r="Z144" s="866"/>
      <c r="AA144" s="866"/>
      <c r="AB144" s="866"/>
    </row>
    <row r="145" spans="1:28" ht="14.4" hidden="1" thickTop="1" x14ac:dyDescent="0.25">
      <c r="A145" s="539"/>
      <c r="B145" s="539"/>
      <c r="C145" s="539"/>
      <c r="D145" s="539"/>
      <c r="E145" s="539"/>
      <c r="F145" s="539"/>
      <c r="G145" s="539"/>
      <c r="H145" s="539"/>
      <c r="I145" s="539"/>
      <c r="J145" s="561"/>
      <c r="K145" s="561"/>
      <c r="L145" s="561"/>
      <c r="M145" s="676">
        <v>7</v>
      </c>
      <c r="N145" s="677">
        <f>IF($H$136=7, 175000,0)</f>
        <v>0</v>
      </c>
      <c r="O145" s="747"/>
      <c r="P145" s="747"/>
      <c r="Q145" s="866"/>
      <c r="T145" s="866"/>
      <c r="U145" s="866"/>
      <c r="V145" s="866"/>
      <c r="W145" s="866"/>
      <c r="Z145" s="866"/>
      <c r="AA145" s="866"/>
      <c r="AB145" s="866"/>
    </row>
    <row r="146" spans="1:28" ht="14.4" hidden="1" thickTop="1" x14ac:dyDescent="0.25">
      <c r="A146" s="539"/>
      <c r="B146" s="539"/>
      <c r="C146" s="539"/>
      <c r="D146" s="539"/>
      <c r="E146" s="539"/>
      <c r="F146" s="539"/>
      <c r="G146" s="539"/>
      <c r="H146" s="539"/>
      <c r="I146" s="539"/>
      <c r="J146" s="561"/>
      <c r="K146" s="561"/>
      <c r="L146" s="561"/>
      <c r="M146" s="676">
        <v>8</v>
      </c>
      <c r="N146" s="677">
        <f>IF($H$136=8, 200000,0)</f>
        <v>0</v>
      </c>
      <c r="O146" s="747"/>
      <c r="P146" s="747"/>
      <c r="Q146" s="866"/>
      <c r="T146" s="866"/>
      <c r="U146" s="866"/>
      <c r="V146" s="866"/>
      <c r="W146" s="866"/>
      <c r="Z146" s="866"/>
      <c r="AA146" s="866"/>
      <c r="AB146" s="866"/>
    </row>
    <row r="147" spans="1:28" ht="14.4" hidden="1" thickTop="1" x14ac:dyDescent="0.25">
      <c r="A147" s="539"/>
      <c r="B147" s="539"/>
      <c r="C147" s="539"/>
      <c r="D147" s="539"/>
      <c r="E147" s="539"/>
      <c r="F147" s="539"/>
      <c r="G147" s="539"/>
      <c r="H147" s="539"/>
      <c r="I147" s="539"/>
      <c r="J147" s="561"/>
      <c r="K147" s="561"/>
      <c r="L147" s="561"/>
      <c r="M147" s="676">
        <v>9</v>
      </c>
      <c r="N147" s="677">
        <f>IF($H$136=9, 225000,0)</f>
        <v>0</v>
      </c>
      <c r="O147" s="747"/>
      <c r="P147" s="747"/>
      <c r="Q147" s="866"/>
      <c r="T147" s="866"/>
      <c r="U147" s="866"/>
      <c r="V147" s="866"/>
      <c r="W147" s="866"/>
      <c r="Z147" s="866"/>
      <c r="AA147" s="866"/>
      <c r="AB147" s="866"/>
    </row>
    <row r="148" spans="1:28" ht="14.4" hidden="1" thickTop="1" x14ac:dyDescent="0.25">
      <c r="A148" s="539"/>
      <c r="B148" s="539"/>
      <c r="C148" s="539"/>
      <c r="D148" s="539"/>
      <c r="E148" s="539"/>
      <c r="F148" s="539"/>
      <c r="G148" s="539"/>
      <c r="H148" s="539"/>
      <c r="I148" s="539"/>
      <c r="J148" s="561"/>
      <c r="K148" s="561"/>
      <c r="L148" s="561"/>
      <c r="M148" s="676">
        <v>10</v>
      </c>
      <c r="N148" s="677">
        <f>IF($H$136=10, 250000,0)</f>
        <v>0</v>
      </c>
      <c r="O148" s="747"/>
      <c r="P148" s="747"/>
      <c r="Q148" s="866"/>
      <c r="T148" s="866"/>
      <c r="U148" s="866"/>
      <c r="V148" s="866"/>
      <c r="W148" s="866"/>
      <c r="Z148" s="866"/>
      <c r="AA148" s="866"/>
      <c r="AB148" s="866"/>
    </row>
    <row r="149" spans="1:28" ht="14.4" hidden="1" thickTop="1" x14ac:dyDescent="0.25">
      <c r="A149" s="539"/>
      <c r="B149" s="539"/>
      <c r="C149" s="539"/>
      <c r="D149" s="539"/>
      <c r="E149" s="539"/>
      <c r="F149" s="539"/>
      <c r="G149" s="539"/>
      <c r="H149" s="539"/>
      <c r="I149" s="539"/>
      <c r="J149" s="561"/>
      <c r="K149" s="561"/>
      <c r="L149" s="561"/>
      <c r="M149" s="676">
        <v>11</v>
      </c>
      <c r="N149" s="677">
        <f>IF($H$136=11, 275000,0)</f>
        <v>0</v>
      </c>
      <c r="O149" s="747"/>
      <c r="P149" s="747"/>
      <c r="Q149" s="866"/>
      <c r="T149" s="866"/>
      <c r="U149" s="866"/>
      <c r="V149" s="866"/>
      <c r="W149" s="866"/>
      <c r="Z149" s="866"/>
      <c r="AA149" s="866"/>
      <c r="AB149" s="866"/>
    </row>
    <row r="150" spans="1:28" ht="14.4" hidden="1" thickTop="1" x14ac:dyDescent="0.25">
      <c r="A150" s="539"/>
      <c r="B150" s="539"/>
      <c r="C150" s="539"/>
      <c r="D150" s="539"/>
      <c r="E150" s="539"/>
      <c r="F150" s="539"/>
      <c r="G150" s="539"/>
      <c r="H150" s="539"/>
      <c r="I150" s="539"/>
      <c r="J150" s="561"/>
      <c r="K150" s="561"/>
      <c r="L150" s="561"/>
      <c r="M150" s="676">
        <v>12</v>
      </c>
      <c r="N150" s="677">
        <f>IF($H$136=12, 300000,0)</f>
        <v>0</v>
      </c>
      <c r="O150" s="747"/>
      <c r="P150" s="747"/>
      <c r="Q150" s="866"/>
      <c r="T150" s="866"/>
      <c r="U150" s="866"/>
      <c r="V150" s="866"/>
      <c r="W150" s="866"/>
      <c r="Z150" s="866"/>
      <c r="AA150" s="866"/>
      <c r="AB150" s="866"/>
    </row>
    <row r="151" spans="1:28" ht="14.4" hidden="1" thickTop="1" x14ac:dyDescent="0.25">
      <c r="A151" s="539"/>
      <c r="B151" s="539"/>
      <c r="C151" s="539"/>
      <c r="D151" s="539"/>
      <c r="E151" s="539"/>
      <c r="F151" s="539"/>
      <c r="G151" s="539"/>
      <c r="H151" s="539"/>
      <c r="I151" s="539"/>
      <c r="J151" s="561"/>
      <c r="K151" s="561"/>
      <c r="L151" s="561"/>
      <c r="M151" s="676">
        <v>13</v>
      </c>
      <c r="N151" s="677">
        <f>IF($H$136=13, 325000,0)</f>
        <v>0</v>
      </c>
      <c r="O151" s="747"/>
      <c r="P151" s="747"/>
      <c r="Q151" s="866"/>
      <c r="T151" s="866"/>
      <c r="U151" s="866"/>
      <c r="V151" s="866"/>
      <c r="W151" s="866"/>
      <c r="Z151" s="866"/>
      <c r="AA151" s="866"/>
      <c r="AB151" s="866"/>
    </row>
    <row r="152" spans="1:28" ht="14.4" hidden="1" thickTop="1" x14ac:dyDescent="0.25">
      <c r="A152" s="539"/>
      <c r="B152" s="539"/>
      <c r="C152" s="539"/>
      <c r="D152" s="539"/>
      <c r="E152" s="539"/>
      <c r="F152" s="539"/>
      <c r="G152" s="539"/>
      <c r="H152" s="539"/>
      <c r="I152" s="539"/>
      <c r="J152" s="561"/>
      <c r="K152" s="561"/>
      <c r="L152" s="561"/>
      <c r="M152" s="676">
        <v>14</v>
      </c>
      <c r="N152" s="677">
        <f>IF($H$136=14, 350000,0)</f>
        <v>0</v>
      </c>
      <c r="O152" s="747"/>
      <c r="P152" s="747"/>
      <c r="Q152" s="866"/>
      <c r="T152" s="866"/>
      <c r="U152" s="866"/>
      <c r="V152" s="866"/>
      <c r="W152" s="866"/>
      <c r="Z152" s="866"/>
      <c r="AA152" s="866"/>
      <c r="AB152" s="866"/>
    </row>
    <row r="153" spans="1:28" ht="14.4" hidden="1" thickTop="1" x14ac:dyDescent="0.25">
      <c r="A153" s="539"/>
      <c r="B153" s="539"/>
      <c r="C153" s="539"/>
      <c r="D153" s="539"/>
      <c r="E153" s="539"/>
      <c r="F153" s="539"/>
      <c r="G153" s="539"/>
      <c r="H153" s="539"/>
      <c r="I153" s="539"/>
      <c r="J153" s="561"/>
      <c r="K153" s="561"/>
      <c r="L153" s="561"/>
      <c r="M153" s="676">
        <v>15</v>
      </c>
      <c r="N153" s="677">
        <f>IF($H$136=15, 375000,0)</f>
        <v>0</v>
      </c>
      <c r="O153" s="747"/>
      <c r="P153" s="747"/>
      <c r="Q153" s="866"/>
      <c r="T153" s="866"/>
      <c r="U153" s="866"/>
      <c r="V153" s="866"/>
      <c r="W153" s="866"/>
      <c r="Z153" s="866"/>
      <c r="AA153" s="866"/>
      <c r="AB153" s="866"/>
    </row>
    <row r="154" spans="1:28" ht="14.4" hidden="1" thickTop="1" x14ac:dyDescent="0.25">
      <c r="A154" s="539"/>
      <c r="B154" s="539"/>
      <c r="C154" s="539"/>
      <c r="D154" s="539"/>
      <c r="E154" s="539"/>
      <c r="F154" s="539"/>
      <c r="G154" s="539"/>
      <c r="H154" s="539"/>
      <c r="I154" s="539"/>
      <c r="J154" s="561"/>
      <c r="K154" s="561"/>
      <c r="L154" s="561"/>
      <c r="M154" s="676">
        <v>16</v>
      </c>
      <c r="N154" s="677">
        <f>IF($H$136=16, 400000,0)</f>
        <v>0</v>
      </c>
      <c r="O154" s="747"/>
      <c r="P154" s="747"/>
      <c r="Q154" s="866"/>
      <c r="T154" s="866"/>
      <c r="U154" s="866"/>
      <c r="V154" s="866"/>
      <c r="W154" s="866"/>
      <c r="Z154" s="866"/>
      <c r="AA154" s="866"/>
      <c r="AB154" s="866"/>
    </row>
    <row r="155" spans="1:28" ht="14.4" hidden="1" thickTop="1" x14ac:dyDescent="0.25">
      <c r="A155" s="539"/>
      <c r="B155" s="539"/>
      <c r="C155" s="539"/>
      <c r="D155" s="539"/>
      <c r="E155" s="539"/>
      <c r="F155" s="539"/>
      <c r="G155" s="539"/>
      <c r="H155" s="539"/>
      <c r="I155" s="539"/>
      <c r="J155" s="561"/>
      <c r="K155" s="561"/>
      <c r="L155" s="561"/>
      <c r="M155" s="561">
        <v>17</v>
      </c>
      <c r="N155" s="677">
        <f>IF($H$136=17, 425000,0)</f>
        <v>0</v>
      </c>
      <c r="O155" s="747"/>
      <c r="P155" s="747"/>
      <c r="Q155" s="866"/>
      <c r="T155" s="866"/>
      <c r="U155" s="866"/>
      <c r="V155" s="866"/>
      <c r="W155" s="866"/>
      <c r="Z155" s="866"/>
      <c r="AA155" s="866"/>
      <c r="AB155" s="866"/>
    </row>
    <row r="156" spans="1:28" ht="14.4" hidden="1" thickTop="1" x14ac:dyDescent="0.25">
      <c r="A156" s="539"/>
      <c r="B156" s="539"/>
      <c r="C156" s="539"/>
      <c r="D156" s="539"/>
      <c r="E156" s="539"/>
      <c r="F156" s="539"/>
      <c r="G156" s="539"/>
      <c r="H156" s="539"/>
      <c r="I156" s="539"/>
      <c r="J156" s="561"/>
      <c r="K156" s="561"/>
      <c r="L156" s="561"/>
      <c r="M156" s="561">
        <v>18</v>
      </c>
      <c r="N156" s="677">
        <f>IF($H$136=18, 450000,0)</f>
        <v>0</v>
      </c>
      <c r="O156" s="747"/>
      <c r="P156" s="747"/>
      <c r="Q156" s="866"/>
      <c r="T156" s="866"/>
      <c r="U156" s="866"/>
      <c r="V156" s="866"/>
      <c r="W156" s="866"/>
      <c r="Z156" s="866"/>
      <c r="AA156" s="866"/>
      <c r="AB156" s="866"/>
    </row>
    <row r="157" spans="1:28" ht="14.4" hidden="1" thickTop="1" x14ac:dyDescent="0.25">
      <c r="A157" s="539"/>
      <c r="B157" s="539"/>
      <c r="C157" s="539"/>
      <c r="D157" s="539"/>
      <c r="E157" s="539"/>
      <c r="F157" s="539"/>
      <c r="G157" s="539"/>
      <c r="H157" s="539"/>
      <c r="I157" s="539"/>
      <c r="J157" s="561"/>
      <c r="K157" s="561"/>
      <c r="L157" s="561"/>
      <c r="M157" s="561">
        <v>19</v>
      </c>
      <c r="N157" s="677">
        <f>IF($H$136=19, 475000,0)</f>
        <v>0</v>
      </c>
      <c r="O157" s="747"/>
      <c r="P157" s="747"/>
      <c r="Q157" s="866"/>
      <c r="T157" s="866"/>
      <c r="U157" s="866"/>
      <c r="V157" s="866"/>
      <c r="W157" s="866"/>
      <c r="Z157" s="866"/>
      <c r="AA157" s="866"/>
      <c r="AB157" s="866"/>
    </row>
    <row r="158" spans="1:28" ht="14.4" hidden="1" thickTop="1" x14ac:dyDescent="0.25">
      <c r="A158" s="539"/>
      <c r="B158" s="539"/>
      <c r="C158" s="539"/>
      <c r="D158" s="539"/>
      <c r="E158" s="539"/>
      <c r="F158" s="539"/>
      <c r="G158" s="539"/>
      <c r="H158" s="539"/>
      <c r="I158" s="539"/>
      <c r="J158" s="561"/>
      <c r="K158" s="561"/>
      <c r="L158" s="561"/>
      <c r="M158" s="561">
        <v>20</v>
      </c>
      <c r="N158" s="677">
        <f>IF($H$136=20, 500000,0)</f>
        <v>0</v>
      </c>
      <c r="O158" s="747"/>
      <c r="P158" s="747"/>
      <c r="Q158" s="866"/>
      <c r="T158" s="866"/>
      <c r="U158" s="866"/>
      <c r="V158" s="866"/>
      <c r="W158" s="866"/>
      <c r="Z158" s="866"/>
      <c r="AA158" s="866"/>
      <c r="AB158" s="866"/>
    </row>
    <row r="159" spans="1:28" ht="14.4" hidden="1" thickTop="1" x14ac:dyDescent="0.25">
      <c r="A159" s="539"/>
      <c r="B159" s="539"/>
      <c r="C159" s="539"/>
      <c r="D159" s="539"/>
      <c r="E159" s="539"/>
      <c r="F159" s="539"/>
      <c r="G159" s="539"/>
      <c r="H159" s="539"/>
      <c r="I159" s="539"/>
      <c r="J159" s="561"/>
      <c r="K159" s="561"/>
      <c r="L159" s="561"/>
      <c r="M159" s="561">
        <v>21</v>
      </c>
      <c r="N159" s="677">
        <f>IF($H$136=21, 525000,0)</f>
        <v>0</v>
      </c>
      <c r="O159" s="747"/>
      <c r="P159" s="747"/>
      <c r="Q159" s="866"/>
      <c r="T159" s="866"/>
      <c r="U159" s="866"/>
      <c r="V159" s="866"/>
      <c r="W159" s="866"/>
      <c r="Z159" s="866"/>
      <c r="AA159" s="866"/>
      <c r="AB159" s="866"/>
    </row>
    <row r="160" spans="1:28" ht="14.4" hidden="1" thickTop="1" x14ac:dyDescent="0.25">
      <c r="A160" s="539"/>
      <c r="B160" s="539"/>
      <c r="C160" s="539"/>
      <c r="D160" s="539"/>
      <c r="E160" s="539"/>
      <c r="F160" s="539"/>
      <c r="G160" s="539"/>
      <c r="H160" s="539"/>
      <c r="I160" s="539"/>
      <c r="J160" s="561"/>
      <c r="K160" s="561"/>
      <c r="L160" s="561"/>
      <c r="M160" s="561">
        <v>22</v>
      </c>
      <c r="N160" s="677">
        <f>IF($H$136=22, 555000,0)</f>
        <v>0</v>
      </c>
      <c r="O160" s="747"/>
      <c r="P160" s="747"/>
      <c r="Q160" s="866"/>
      <c r="T160" s="866"/>
      <c r="U160" s="866"/>
      <c r="V160" s="866"/>
      <c r="W160" s="866"/>
      <c r="Z160" s="866"/>
      <c r="AA160" s="866"/>
      <c r="AB160" s="866"/>
    </row>
    <row r="161" spans="1:36" ht="14.4" hidden="1" thickTop="1" x14ac:dyDescent="0.25">
      <c r="A161" s="539"/>
      <c r="B161" s="539"/>
      <c r="C161" s="539"/>
      <c r="D161" s="539"/>
      <c r="E161" s="539"/>
      <c r="F161" s="539"/>
      <c r="G161" s="539"/>
      <c r="H161" s="539"/>
      <c r="I161" s="539"/>
      <c r="J161" s="561"/>
      <c r="K161" s="561"/>
      <c r="L161" s="561"/>
      <c r="M161" s="561">
        <v>23</v>
      </c>
      <c r="N161" s="677">
        <f>IF($H$136=23, 575000,0)</f>
        <v>0</v>
      </c>
      <c r="O161" s="747"/>
      <c r="P161" s="747"/>
      <c r="Q161" s="866"/>
      <c r="T161" s="866"/>
      <c r="U161" s="866"/>
      <c r="V161" s="866"/>
      <c r="W161" s="866"/>
      <c r="Z161" s="866"/>
      <c r="AA161" s="866"/>
      <c r="AB161" s="866"/>
    </row>
    <row r="162" spans="1:36" ht="14.4" hidden="1" thickTop="1" x14ac:dyDescent="0.25">
      <c r="A162" s="539"/>
      <c r="B162" s="539"/>
      <c r="C162" s="539"/>
      <c r="D162" s="539"/>
      <c r="E162" s="539"/>
      <c r="F162" s="539"/>
      <c r="G162" s="539"/>
      <c r="H162" s="539"/>
      <c r="I162" s="539"/>
      <c r="J162" s="561"/>
      <c r="K162" s="561"/>
      <c r="L162" s="561"/>
      <c r="M162" s="561">
        <v>24</v>
      </c>
      <c r="N162" s="677">
        <f>IF($H$136=24, 600000,0)</f>
        <v>0</v>
      </c>
      <c r="O162" s="747"/>
      <c r="P162" s="747"/>
      <c r="Q162" s="866"/>
      <c r="T162" s="866"/>
      <c r="U162" s="866"/>
      <c r="V162" s="866"/>
      <c r="W162" s="866"/>
      <c r="Z162" s="866"/>
      <c r="AA162" s="866"/>
      <c r="AB162" s="866"/>
    </row>
    <row r="163" spans="1:36" ht="14.4" hidden="1" thickTop="1" x14ac:dyDescent="0.25">
      <c r="A163" s="539"/>
      <c r="B163" s="539"/>
      <c r="C163" s="539"/>
      <c r="D163" s="539"/>
      <c r="E163" s="539"/>
      <c r="F163" s="539"/>
      <c r="G163" s="539"/>
      <c r="H163" s="539"/>
      <c r="I163" s="539"/>
      <c r="J163" s="561"/>
      <c r="K163" s="561"/>
      <c r="L163" s="561"/>
      <c r="M163" s="561">
        <v>25</v>
      </c>
      <c r="N163" s="677">
        <f>IF($H$136=25, 625000,0)</f>
        <v>0</v>
      </c>
      <c r="O163" s="747"/>
      <c r="P163" s="747"/>
      <c r="Q163" s="866"/>
      <c r="T163" s="866"/>
      <c r="U163" s="866"/>
      <c r="V163" s="866"/>
      <c r="W163" s="866"/>
      <c r="Z163" s="866"/>
      <c r="AA163" s="866"/>
      <c r="AB163" s="866"/>
    </row>
    <row r="164" spans="1:36" ht="14.4" hidden="1" thickTop="1" x14ac:dyDescent="0.25">
      <c r="A164" s="539"/>
      <c r="B164" s="539"/>
      <c r="C164" s="539"/>
      <c r="D164" s="539"/>
      <c r="E164" s="539"/>
      <c r="F164" s="539"/>
      <c r="G164" s="539"/>
      <c r="H164" s="539"/>
      <c r="I164" s="539"/>
      <c r="J164" s="561"/>
      <c r="K164" s="561"/>
      <c r="L164" s="561"/>
      <c r="M164" s="561"/>
      <c r="N164" s="677"/>
      <c r="O164" s="747"/>
      <c r="P164" s="747"/>
      <c r="Q164" s="866"/>
      <c r="T164" s="866"/>
      <c r="U164" s="866"/>
      <c r="V164" s="866"/>
      <c r="W164" s="866"/>
      <c r="Z164" s="866"/>
      <c r="AA164" s="866"/>
      <c r="AB164" s="866"/>
    </row>
    <row r="165" spans="1:36" ht="15" thickTop="1" thickBot="1" x14ac:dyDescent="0.3">
      <c r="A165" s="453"/>
      <c r="B165" s="453"/>
      <c r="C165" s="453"/>
      <c r="D165" s="453"/>
      <c r="E165" s="453"/>
      <c r="F165" s="328"/>
      <c r="G165" s="328"/>
      <c r="H165" s="328"/>
      <c r="I165" s="328"/>
      <c r="J165" s="328"/>
      <c r="K165" s="328"/>
      <c r="L165" s="328"/>
      <c r="M165" s="328"/>
      <c r="N165" s="443"/>
      <c r="O165" s="522"/>
      <c r="P165" s="522"/>
      <c r="Q165" s="866"/>
      <c r="T165" s="866"/>
      <c r="U165" s="866"/>
      <c r="V165" s="866"/>
      <c r="W165" s="866"/>
      <c r="Z165" s="866"/>
      <c r="AA165" s="866"/>
      <c r="AB165" s="866"/>
    </row>
    <row r="166" spans="1:36" ht="15.6" thickTop="1" thickBot="1" x14ac:dyDescent="0.35">
      <c r="A166" s="1226" t="s">
        <v>427</v>
      </c>
      <c r="B166" s="1226"/>
      <c r="C166" s="319"/>
      <c r="D166" s="319"/>
      <c r="E166" s="319"/>
      <c r="F166" s="320"/>
      <c r="G166" s="320"/>
      <c r="H166" s="321" t="s">
        <v>60</v>
      </c>
      <c r="I166" s="320"/>
      <c r="J166" s="458"/>
      <c r="K166" s="458"/>
      <c r="L166" s="320"/>
      <c r="M166" s="320"/>
      <c r="N166" s="1094" t="s">
        <v>226</v>
      </c>
      <c r="O166" s="582"/>
      <c r="P166" s="582"/>
      <c r="Q166" s="866"/>
      <c r="T166" s="866"/>
      <c r="U166" s="866"/>
      <c r="V166" s="866"/>
      <c r="W166" s="866"/>
      <c r="Z166" s="866"/>
      <c r="AA166" s="866"/>
      <c r="AB166" s="866"/>
    </row>
    <row r="167" spans="1:36" ht="14.4" thickTop="1" x14ac:dyDescent="0.25">
      <c r="A167" s="1226" t="s">
        <v>329</v>
      </c>
      <c r="B167" s="1226"/>
      <c r="C167" s="319"/>
      <c r="D167" s="319"/>
      <c r="E167" s="319"/>
      <c r="F167" s="320"/>
      <c r="G167" s="320"/>
      <c r="H167" s="320"/>
      <c r="I167" s="320"/>
      <c r="J167" s="320"/>
      <c r="K167" s="320"/>
      <c r="L167" s="438"/>
      <c r="M167" s="320"/>
      <c r="N167" s="438"/>
      <c r="O167" s="522"/>
      <c r="P167" s="522"/>
      <c r="Q167" s="866"/>
      <c r="T167" s="866"/>
      <c r="U167" s="866"/>
      <c r="V167" s="866"/>
      <c r="W167" s="866"/>
      <c r="Z167" s="866"/>
      <c r="AA167" s="866"/>
      <c r="AB167" s="866"/>
    </row>
    <row r="168" spans="1:36" x14ac:dyDescent="0.25">
      <c r="A168" s="1226" t="s">
        <v>339</v>
      </c>
      <c r="B168" s="1226"/>
      <c r="C168" s="319"/>
      <c r="D168" s="319"/>
      <c r="E168" s="319"/>
      <c r="F168" s="320"/>
      <c r="G168" s="320"/>
      <c r="H168" s="320"/>
      <c r="I168" s="320"/>
      <c r="J168" s="320"/>
      <c r="K168" s="320"/>
      <c r="L168" s="438"/>
      <c r="M168" s="320"/>
      <c r="N168" s="438"/>
      <c r="O168" s="522"/>
      <c r="P168" s="522"/>
      <c r="Q168" s="866"/>
      <c r="T168" s="866"/>
      <c r="U168" s="866"/>
      <c r="V168" s="866"/>
      <c r="W168" s="866"/>
      <c r="Z168" s="866"/>
      <c r="AA168" s="866"/>
      <c r="AB168" s="866"/>
    </row>
    <row r="169" spans="1:36" ht="23.25" customHeight="1" thickBot="1" x14ac:dyDescent="0.3">
      <c r="A169" s="1226" t="s">
        <v>340</v>
      </c>
      <c r="B169" s="1226"/>
      <c r="C169" s="319"/>
      <c r="D169" s="319"/>
      <c r="E169" s="319"/>
      <c r="F169" s="320"/>
      <c r="G169" s="320"/>
      <c r="H169" s="320"/>
      <c r="I169" s="320"/>
      <c r="J169" s="320"/>
      <c r="K169" s="320"/>
      <c r="L169" s="438"/>
      <c r="M169" s="320"/>
      <c r="N169" s="320"/>
      <c r="Q169" s="866"/>
      <c r="T169" s="866"/>
      <c r="U169" s="866"/>
      <c r="V169" s="866"/>
      <c r="W169" s="866"/>
      <c r="Z169" s="866"/>
      <c r="AA169" s="866"/>
      <c r="AB169" s="866"/>
    </row>
    <row r="170" spans="1:36" ht="15" thickTop="1" thickBot="1" x14ac:dyDescent="0.3">
      <c r="A170" s="1226" t="s">
        <v>363</v>
      </c>
      <c r="B170" s="1226"/>
      <c r="C170" s="320"/>
      <c r="D170" s="320"/>
      <c r="E170" s="320"/>
      <c r="F170" s="320"/>
      <c r="G170" s="320"/>
      <c r="H170" s="320"/>
      <c r="I170" s="320"/>
      <c r="J170" s="320"/>
      <c r="K170" s="320"/>
      <c r="L170" s="459"/>
      <c r="M170" s="320"/>
      <c r="N170" s="460"/>
      <c r="O170" s="748"/>
      <c r="P170" s="748"/>
    </row>
    <row r="171" spans="1:36" ht="15.6" thickTop="1" thickBot="1" x14ac:dyDescent="0.35">
      <c r="A171" s="1228" t="s">
        <v>364</v>
      </c>
      <c r="B171" s="1228"/>
      <c r="C171" s="319"/>
      <c r="D171" s="319"/>
      <c r="E171" s="319"/>
      <c r="F171" s="320"/>
      <c r="G171" s="320"/>
      <c r="H171" s="320"/>
      <c r="I171" s="320"/>
      <c r="J171" s="319"/>
      <c r="K171" s="320"/>
      <c r="L171" s="459"/>
      <c r="M171" s="320"/>
      <c r="N171" s="460"/>
      <c r="O171" s="748"/>
      <c r="P171" s="748"/>
    </row>
    <row r="172" spans="1:36" ht="15.6" thickTop="1" thickBot="1" x14ac:dyDescent="0.35">
      <c r="A172" s="1222"/>
      <c r="B172" s="1222"/>
      <c r="C172" s="453"/>
      <c r="D172" s="453"/>
      <c r="E172" s="453"/>
      <c r="F172" s="328"/>
      <c r="G172" s="328"/>
      <c r="H172" s="328"/>
      <c r="I172" s="328"/>
      <c r="J172" s="453"/>
      <c r="K172" s="328"/>
      <c r="L172" s="1156"/>
      <c r="M172" s="328"/>
      <c r="N172" s="328"/>
    </row>
    <row r="173" spans="1:36" ht="15" thickTop="1" thickBot="1" x14ac:dyDescent="0.3">
      <c r="A173" s="1226" t="s">
        <v>428</v>
      </c>
      <c r="B173" s="1226"/>
      <c r="C173" s="319"/>
      <c r="D173" s="319"/>
      <c r="E173" s="319"/>
      <c r="F173" s="320"/>
      <c r="G173" s="320"/>
      <c r="H173" s="321" t="s">
        <v>60</v>
      </c>
      <c r="I173" s="320"/>
      <c r="J173" s="320"/>
      <c r="K173" s="320"/>
      <c r="L173" s="438"/>
      <c r="M173" s="320"/>
      <c r="N173" s="1094" t="s">
        <v>119</v>
      </c>
      <c r="O173" s="582"/>
      <c r="P173" s="582"/>
      <c r="AE173" s="230"/>
      <c r="AF173" s="230"/>
      <c r="AI173" s="230"/>
      <c r="AJ173" s="230"/>
    </row>
    <row r="174" spans="1:36" ht="14.4" thickTop="1" x14ac:dyDescent="0.25">
      <c r="A174" s="1226" t="s">
        <v>327</v>
      </c>
      <c r="B174" s="1226"/>
      <c r="C174" s="319"/>
      <c r="D174" s="319"/>
      <c r="E174" s="319"/>
      <c r="F174" s="320"/>
      <c r="G174" s="320"/>
      <c r="H174" s="320"/>
      <c r="I174" s="320"/>
      <c r="J174" s="320"/>
      <c r="K174" s="320"/>
      <c r="L174" s="438"/>
      <c r="M174" s="438"/>
      <c r="N174" s="438"/>
      <c r="O174" s="749"/>
      <c r="P174" s="749"/>
      <c r="AE174" s="230"/>
      <c r="AF174" s="230"/>
      <c r="AI174" s="230"/>
      <c r="AJ174" s="230"/>
    </row>
    <row r="175" spans="1:36" x14ac:dyDescent="0.25">
      <c r="A175" s="1226" t="s">
        <v>357</v>
      </c>
      <c r="B175" s="1226"/>
      <c r="C175" s="319"/>
      <c r="D175" s="319"/>
      <c r="E175" s="319"/>
      <c r="F175" s="320"/>
      <c r="G175" s="320"/>
      <c r="H175" s="320"/>
      <c r="I175" s="320"/>
      <c r="J175" s="320"/>
      <c r="K175" s="320"/>
      <c r="L175" s="438"/>
      <c r="M175" s="438"/>
      <c r="N175" s="438"/>
      <c r="O175" s="749"/>
      <c r="P175" s="749"/>
      <c r="Q175" s="326"/>
      <c r="AE175" s="230"/>
      <c r="AF175" s="230"/>
      <c r="AI175" s="230"/>
      <c r="AJ175" s="230"/>
    </row>
    <row r="176" spans="1:36" x14ac:dyDescent="0.25">
      <c r="A176" s="1226" t="s">
        <v>358</v>
      </c>
      <c r="B176" s="1226"/>
      <c r="C176" s="319"/>
      <c r="D176" s="319"/>
      <c r="E176" s="319"/>
      <c r="F176" s="320"/>
      <c r="G176" s="320"/>
      <c r="H176" s="320"/>
      <c r="I176" s="320"/>
      <c r="J176" s="320"/>
      <c r="K176" s="320"/>
      <c r="L176" s="438"/>
      <c r="M176" s="438"/>
      <c r="N176" s="438"/>
      <c r="P176" s="749"/>
      <c r="Q176" s="326"/>
      <c r="AE176" s="230"/>
      <c r="AF176" s="230"/>
      <c r="AI176" s="230"/>
      <c r="AJ176" s="230"/>
    </row>
    <row r="177" spans="1:57" x14ac:dyDescent="0.25">
      <c r="A177" s="1226" t="s">
        <v>359</v>
      </c>
      <c r="B177" s="1226"/>
      <c r="C177" s="320"/>
      <c r="D177" s="320"/>
      <c r="E177" s="320"/>
      <c r="F177" s="320"/>
      <c r="G177" s="320"/>
      <c r="H177" s="320"/>
      <c r="I177" s="320"/>
      <c r="J177" s="320"/>
      <c r="K177" s="320"/>
      <c r="L177" s="1240"/>
      <c r="M177" s="320"/>
      <c r="N177" s="320"/>
      <c r="AE177" s="230"/>
      <c r="AF177" s="230"/>
      <c r="AI177" s="230"/>
      <c r="AJ177" s="230"/>
    </row>
    <row r="178" spans="1:57" x14ac:dyDescent="0.25">
      <c r="A178" s="319" t="s">
        <v>264</v>
      </c>
      <c r="B178" s="319"/>
      <c r="C178" s="320"/>
      <c r="D178" s="320"/>
      <c r="E178" s="320"/>
      <c r="F178" s="320"/>
      <c r="G178" s="1362"/>
      <c r="H178" s="1362"/>
      <c r="I178" s="1362"/>
      <c r="J178" s="1362"/>
      <c r="K178" s="1362"/>
      <c r="L178" s="1366" t="s">
        <v>230</v>
      </c>
      <c r="M178" s="1362"/>
      <c r="N178" s="1362"/>
      <c r="S178" s="1079"/>
      <c r="AE178" s="230"/>
      <c r="AF178" s="230"/>
      <c r="AI178" s="230"/>
      <c r="AJ178" s="230"/>
    </row>
    <row r="179" spans="1:57" x14ac:dyDescent="0.25">
      <c r="A179" s="319"/>
      <c r="B179" s="319"/>
      <c r="C179" s="320"/>
      <c r="D179" s="320"/>
      <c r="E179" s="320"/>
      <c r="F179" s="320"/>
      <c r="G179" s="467"/>
      <c r="H179" s="1395" t="s">
        <v>229</v>
      </c>
      <c r="I179" s="1229" t="s">
        <v>227</v>
      </c>
      <c r="J179" s="320"/>
      <c r="K179" s="1230" t="s">
        <v>228</v>
      </c>
      <c r="L179" s="1230" t="s">
        <v>265</v>
      </c>
      <c r="M179" s="1230" t="s">
        <v>280</v>
      </c>
      <c r="N179" s="1241" t="s">
        <v>4</v>
      </c>
      <c r="O179" s="752" t="s">
        <v>279</v>
      </c>
      <c r="P179" s="748"/>
      <c r="Q179" s="1"/>
      <c r="R179" s="1"/>
      <c r="S179" s="1079"/>
      <c r="AE179" s="230"/>
      <c r="AF179" s="230"/>
      <c r="AI179" s="230"/>
      <c r="AJ179" s="230"/>
    </row>
    <row r="180" spans="1:57" ht="31.5" customHeight="1" x14ac:dyDescent="0.3">
      <c r="A180" s="319"/>
      <c r="B180" s="319"/>
      <c r="C180" s="320"/>
      <c r="D180" s="320"/>
      <c r="E180" s="320"/>
      <c r="F180" s="320"/>
      <c r="G180" s="467"/>
      <c r="H180" s="1364" t="s">
        <v>232</v>
      </c>
      <c r="I180" s="681"/>
      <c r="J180" s="320"/>
      <c r="K180" s="681"/>
      <c r="L180" s="682"/>
      <c r="M180" s="682"/>
      <c r="N180" s="1407">
        <f>SUM(I180:M180)</f>
        <v>0</v>
      </c>
      <c r="O180" s="755">
        <f>SUM(J180:L180)</f>
        <v>0</v>
      </c>
      <c r="P180" s="588">
        <f>IF(AND(O180&lt;25000,N180&gt;25000,M180&gt;O180),25000-O180,IF(AND(O180&lt;25000,M180&lt;25000),M180, 0))</f>
        <v>0</v>
      </c>
      <c r="Q180" s="1"/>
      <c r="R180" s="1"/>
      <c r="S180" s="1079"/>
      <c r="AE180" s="230"/>
      <c r="AF180" s="230"/>
      <c r="AI180" s="230"/>
      <c r="AJ180" s="230"/>
    </row>
    <row r="181" spans="1:57" ht="31.5" customHeight="1" x14ac:dyDescent="0.25">
      <c r="A181" s="319"/>
      <c r="B181" s="319"/>
      <c r="C181" s="320"/>
      <c r="D181" s="320"/>
      <c r="E181" s="320"/>
      <c r="F181" s="320"/>
      <c r="G181" s="467"/>
      <c r="H181" s="1365" t="s">
        <v>233</v>
      </c>
      <c r="I181" s="681"/>
      <c r="J181" s="320"/>
      <c r="K181" s="681"/>
      <c r="L181" s="682"/>
      <c r="M181" s="682"/>
      <c r="N181" s="1408">
        <f>SUM(I181:M181)</f>
        <v>0</v>
      </c>
      <c r="O181" s="755">
        <f>SUM(J181:L181)</f>
        <v>0</v>
      </c>
      <c r="P181" s="588">
        <f>IF(AND(O181&lt;25000,N181&gt;25000,M181&gt;O181),25000-O181,IF(AND(O181&lt;25000,M181&lt;25000),M181, 0))</f>
        <v>0</v>
      </c>
      <c r="Q181" s="1"/>
      <c r="R181" s="1"/>
      <c r="S181" s="1079"/>
      <c r="AE181" s="230"/>
      <c r="AF181" s="230"/>
      <c r="AI181" s="230"/>
      <c r="AJ181" s="230"/>
    </row>
    <row r="182" spans="1:57" ht="15" thickBot="1" x14ac:dyDescent="0.35">
      <c r="A182" s="1222"/>
      <c r="B182" s="1222"/>
      <c r="C182" s="453"/>
      <c r="D182" s="453"/>
      <c r="E182" s="453"/>
      <c r="F182" s="328"/>
      <c r="G182" s="328"/>
      <c r="H182" s="328"/>
      <c r="I182" s="328"/>
      <c r="J182" s="453"/>
      <c r="K182" s="328"/>
      <c r="L182" s="1156"/>
      <c r="M182" s="328"/>
      <c r="N182" s="328"/>
      <c r="R182" s="1079"/>
    </row>
    <row r="183" spans="1:57" ht="14.4" hidden="1" thickBot="1" x14ac:dyDescent="0.3">
      <c r="A183" s="539"/>
      <c r="B183" s="539"/>
      <c r="C183" s="539"/>
      <c r="D183" s="539"/>
      <c r="E183" s="539"/>
      <c r="F183" s="539"/>
      <c r="G183" s="539"/>
      <c r="H183" s="539"/>
      <c r="I183" s="539"/>
      <c r="J183" s="539"/>
      <c r="K183" s="539"/>
      <c r="L183" s="539"/>
      <c r="M183" s="539"/>
      <c r="N183" s="684"/>
      <c r="O183" s="757"/>
      <c r="P183" s="757"/>
    </row>
    <row r="184" spans="1:57" ht="14.4" hidden="1" thickBot="1" x14ac:dyDescent="0.3">
      <c r="A184" s="539"/>
      <c r="B184" s="539"/>
      <c r="C184" s="539"/>
      <c r="D184" s="539"/>
      <c r="E184" s="539"/>
      <c r="F184" s="539"/>
      <c r="G184" s="539"/>
      <c r="H184" s="539"/>
      <c r="I184" s="539"/>
      <c r="J184" s="561"/>
      <c r="K184" s="561"/>
      <c r="L184" s="561"/>
      <c r="M184" s="685" t="s">
        <v>71</v>
      </c>
      <c r="N184" s="684">
        <f>SUM(N138:N163)+SUM(N170:N171)+SUM(P180:P181)</f>
        <v>0</v>
      </c>
      <c r="O184" s="757"/>
      <c r="P184" s="757"/>
    </row>
    <row r="185" spans="1:57" s="13" customFormat="1" ht="14.4" hidden="1" thickBot="1" x14ac:dyDescent="0.3">
      <c r="A185" s="453"/>
      <c r="B185" s="453"/>
      <c r="C185" s="453"/>
      <c r="D185" s="453"/>
      <c r="E185" s="453"/>
      <c r="F185" s="328"/>
      <c r="G185" s="328"/>
      <c r="H185" s="328"/>
      <c r="I185" s="328"/>
      <c r="J185" s="328"/>
      <c r="K185" s="328"/>
      <c r="L185" s="328"/>
      <c r="M185" s="328"/>
      <c r="N185" s="443"/>
      <c r="O185" s="522"/>
      <c r="P185" s="522"/>
      <c r="Q185" s="326"/>
      <c r="R185" s="640"/>
      <c r="S185" s="640"/>
      <c r="T185" s="326"/>
      <c r="U185" s="326"/>
      <c r="V185" s="326"/>
      <c r="W185" s="326"/>
      <c r="X185" s="326"/>
      <c r="Y185" s="326"/>
      <c r="Z185" s="326"/>
      <c r="AA185" s="326"/>
      <c r="AB185" s="326"/>
      <c r="AC185" s="326"/>
      <c r="AD185" s="326"/>
      <c r="AE185" s="510"/>
      <c r="AF185" s="510"/>
      <c r="AG185" s="326"/>
      <c r="AH185" s="326"/>
      <c r="AI185" s="510"/>
      <c r="AJ185" s="510"/>
      <c r="AK185" s="326"/>
      <c r="AL185" s="326"/>
      <c r="AM185" s="326"/>
      <c r="AN185" s="326"/>
      <c r="AO185" s="326"/>
      <c r="AP185" s="326"/>
      <c r="AQ185" s="326"/>
      <c r="AR185" s="326"/>
      <c r="AS185" s="326"/>
      <c r="AT185" s="326"/>
      <c r="AU185" s="326"/>
      <c r="AV185" s="326"/>
      <c r="AW185" s="326"/>
      <c r="AX185" s="326"/>
      <c r="AY185" s="326"/>
      <c r="AZ185" s="326"/>
      <c r="BA185" s="326"/>
      <c r="BB185" s="326"/>
      <c r="BC185" s="326"/>
      <c r="BD185" s="326"/>
      <c r="BE185" s="326"/>
    </row>
    <row r="186" spans="1:57" ht="15" thickTop="1" thickBot="1" x14ac:dyDescent="0.3">
      <c r="A186" s="1226" t="s">
        <v>377</v>
      </c>
      <c r="B186" s="1226"/>
      <c r="C186" s="319"/>
      <c r="D186" s="319"/>
      <c r="E186" s="319"/>
      <c r="F186" s="320"/>
      <c r="G186" s="320"/>
      <c r="H186" s="320"/>
      <c r="I186" s="320"/>
      <c r="J186" s="320"/>
      <c r="K186" s="320"/>
      <c r="L186" s="321" t="s">
        <v>60</v>
      </c>
      <c r="M186" s="320"/>
      <c r="N186" s="1094" t="s">
        <v>273</v>
      </c>
    </row>
    <row r="187" spans="1:57" ht="27.75" customHeight="1" thickTop="1" x14ac:dyDescent="0.25">
      <c r="A187" s="1226" t="s">
        <v>336</v>
      </c>
      <c r="B187" s="1226"/>
      <c r="C187" s="319"/>
      <c r="D187" s="319"/>
      <c r="E187" s="319"/>
      <c r="F187" s="320"/>
      <c r="G187" s="320"/>
      <c r="H187" s="320"/>
      <c r="I187" s="320"/>
      <c r="J187" s="320"/>
      <c r="K187" s="320"/>
      <c r="L187" s="320"/>
      <c r="M187" s="320"/>
      <c r="N187" s="438"/>
      <c r="O187" s="522"/>
      <c r="P187" s="522"/>
    </row>
    <row r="188" spans="1:57" x14ac:dyDescent="0.25">
      <c r="A188" s="1232" t="s">
        <v>360</v>
      </c>
      <c r="B188" s="1232"/>
      <c r="C188" s="319"/>
      <c r="D188" s="319"/>
      <c r="E188" s="319"/>
      <c r="F188" s="320"/>
      <c r="G188" s="320"/>
      <c r="H188" s="320"/>
      <c r="I188" s="320"/>
      <c r="J188" s="320"/>
      <c r="K188" s="320"/>
      <c r="L188" s="320"/>
      <c r="M188" s="320"/>
      <c r="N188" s="320"/>
    </row>
    <row r="189" spans="1:57" ht="18" customHeight="1" x14ac:dyDescent="0.25">
      <c r="A189" s="1231" t="s">
        <v>361</v>
      </c>
      <c r="B189" s="1231"/>
      <c r="C189" s="319"/>
      <c r="D189" s="319"/>
      <c r="E189" s="319"/>
      <c r="F189" s="320"/>
      <c r="G189" s="320"/>
      <c r="H189" s="320"/>
      <c r="I189" s="320"/>
      <c r="J189" s="320"/>
      <c r="K189" s="320"/>
      <c r="L189" s="320"/>
      <c r="M189" s="320"/>
      <c r="N189" s="320"/>
    </row>
    <row r="190" spans="1:57" ht="18" customHeight="1" x14ac:dyDescent="0.25">
      <c r="A190" s="1233" t="s">
        <v>135</v>
      </c>
      <c r="B190" s="1233"/>
      <c r="C190" s="319"/>
      <c r="D190" s="319"/>
      <c r="E190" s="319"/>
      <c r="F190" s="320"/>
      <c r="G190" s="320"/>
      <c r="H190" s="320"/>
      <c r="I190" s="320"/>
      <c r="J190" s="320"/>
      <c r="K190" s="320"/>
      <c r="L190" s="320"/>
      <c r="M190" s="320"/>
      <c r="N190" s="320"/>
    </row>
    <row r="191" spans="1:57" ht="17.25" customHeight="1" thickBot="1" x14ac:dyDescent="0.3">
      <c r="A191" s="453"/>
      <c r="B191" s="453"/>
      <c r="C191" s="453"/>
      <c r="D191" s="453"/>
      <c r="E191" s="453"/>
      <c r="F191" s="328"/>
      <c r="G191" s="328"/>
      <c r="H191" s="328"/>
      <c r="I191" s="328"/>
      <c r="J191" s="328"/>
      <c r="K191" s="328"/>
      <c r="L191" s="328"/>
      <c r="M191" s="328"/>
      <c r="N191" s="443"/>
      <c r="O191" s="522"/>
      <c r="P191" s="522"/>
    </row>
    <row r="192" spans="1:57" ht="15" thickTop="1" thickBot="1" x14ac:dyDescent="0.3">
      <c r="A192" s="1226" t="s">
        <v>378</v>
      </c>
      <c r="B192" s="1226"/>
      <c r="C192" s="319"/>
      <c r="D192" s="319"/>
      <c r="E192" s="319"/>
      <c r="F192" s="320"/>
      <c r="G192" s="320"/>
      <c r="H192" s="320"/>
      <c r="I192" s="320"/>
      <c r="J192" s="320"/>
      <c r="K192" s="320"/>
      <c r="L192" s="321" t="s">
        <v>60</v>
      </c>
      <c r="M192" s="320"/>
      <c r="N192" s="1094" t="s">
        <v>274</v>
      </c>
      <c r="O192" s="582"/>
      <c r="P192" s="582"/>
    </row>
    <row r="193" spans="1:57" ht="14.4" thickTop="1" x14ac:dyDescent="0.25">
      <c r="A193" s="1234" t="s">
        <v>206</v>
      </c>
      <c r="B193" s="1234"/>
      <c r="C193" s="464"/>
      <c r="D193" s="464"/>
      <c r="E193" s="464"/>
      <c r="F193" s="459"/>
      <c r="G193" s="459"/>
      <c r="H193" s="459"/>
      <c r="I193" s="459"/>
      <c r="J193" s="459"/>
      <c r="K193" s="459"/>
      <c r="L193" s="459"/>
      <c r="M193" s="459"/>
      <c r="N193" s="311"/>
      <c r="O193" s="582"/>
      <c r="P193" s="582"/>
    </row>
    <row r="194" spans="1:57" s="867" customFormat="1" ht="14.4" thickBot="1" x14ac:dyDescent="0.3">
      <c r="A194" s="1150"/>
      <c r="B194" s="1150"/>
      <c r="C194" s="628"/>
      <c r="D194" s="628"/>
      <c r="E194" s="628"/>
      <c r="F194" s="1156"/>
      <c r="G194" s="1156"/>
      <c r="H194" s="1156"/>
      <c r="I194" s="1156"/>
      <c r="J194" s="1156"/>
      <c r="K194" s="1156"/>
      <c r="L194" s="1156"/>
      <c r="M194" s="1156"/>
      <c r="N194" s="1320"/>
      <c r="O194" s="582"/>
      <c r="P194" s="582"/>
      <c r="Q194" s="866"/>
      <c r="R194" s="642"/>
      <c r="S194" s="642"/>
      <c r="T194" s="866"/>
      <c r="U194" s="866"/>
      <c r="V194" s="866"/>
      <c r="W194" s="866"/>
      <c r="X194" s="866"/>
      <c r="Y194" s="866"/>
      <c r="Z194" s="866"/>
      <c r="AA194" s="866"/>
      <c r="AB194" s="866"/>
      <c r="AC194" s="866"/>
      <c r="AD194" s="866"/>
      <c r="AE194" s="868"/>
      <c r="AF194" s="868"/>
      <c r="AG194" s="866"/>
      <c r="AH194" s="866"/>
      <c r="AI194" s="868"/>
      <c r="AJ194" s="868"/>
      <c r="AK194" s="866"/>
      <c r="AL194" s="866"/>
      <c r="AM194" s="866"/>
      <c r="AN194" s="866"/>
      <c r="AO194" s="866"/>
      <c r="AP194" s="866"/>
      <c r="AQ194" s="866"/>
      <c r="AR194" s="866"/>
      <c r="AS194" s="866"/>
      <c r="AT194" s="866"/>
      <c r="AU194" s="866"/>
      <c r="AV194" s="866"/>
      <c r="AW194" s="866"/>
      <c r="AX194" s="866"/>
      <c r="AY194" s="866"/>
      <c r="AZ194" s="866"/>
      <c r="BA194" s="866"/>
      <c r="BB194" s="866"/>
      <c r="BC194" s="866"/>
      <c r="BD194" s="866"/>
      <c r="BE194" s="866"/>
    </row>
    <row r="195" spans="1:57" ht="16.5" customHeight="1" thickTop="1" thickBot="1" x14ac:dyDescent="0.3">
      <c r="A195" s="1093" t="s">
        <v>583</v>
      </c>
      <c r="B195" s="1093"/>
      <c r="C195" s="438"/>
      <c r="D195" s="438"/>
      <c r="E195" s="438"/>
      <c r="F195" s="438"/>
      <c r="G195" s="438"/>
      <c r="H195" s="438"/>
      <c r="I195" s="438"/>
      <c r="J195" s="438"/>
      <c r="K195" s="439"/>
      <c r="L195" s="321" t="s">
        <v>60</v>
      </c>
      <c r="M195" s="438"/>
      <c r="N195" s="311" t="s">
        <v>559</v>
      </c>
      <c r="O195" s="522"/>
      <c r="P195" s="522"/>
    </row>
    <row r="196" spans="1:57" ht="16.5" customHeight="1" thickTop="1" x14ac:dyDescent="0.25">
      <c r="A196" s="1093" t="s">
        <v>586</v>
      </c>
      <c r="B196" s="1093"/>
      <c r="C196" s="438"/>
      <c r="D196" s="438"/>
      <c r="E196" s="438"/>
      <c r="F196" s="438"/>
      <c r="G196" s="438"/>
      <c r="H196" s="438"/>
      <c r="I196" s="438"/>
      <c r="J196" s="438"/>
      <c r="K196" s="439"/>
      <c r="L196" s="438"/>
      <c r="M196" s="438"/>
      <c r="N196" s="320"/>
    </row>
    <row r="197" spans="1:57" ht="16.5" customHeight="1" x14ac:dyDescent="0.25">
      <c r="A197" s="1093" t="s">
        <v>585</v>
      </c>
      <c r="B197" s="1093"/>
      <c r="C197" s="438"/>
      <c r="D197" s="438"/>
      <c r="E197" s="438"/>
      <c r="F197" s="438"/>
      <c r="G197" s="438"/>
      <c r="H197" s="438"/>
      <c r="I197" s="438"/>
      <c r="J197" s="438"/>
      <c r="K197" s="439"/>
      <c r="L197" s="438"/>
      <c r="M197" s="438"/>
      <c r="N197" s="320"/>
    </row>
    <row r="198" spans="1:57" s="867" customFormat="1" ht="16.5" customHeight="1" x14ac:dyDescent="0.25">
      <c r="A198" s="1093" t="s">
        <v>562</v>
      </c>
      <c r="B198" s="1093"/>
      <c r="C198" s="438"/>
      <c r="D198" s="438"/>
      <c r="E198" s="438"/>
      <c r="F198" s="438"/>
      <c r="G198" s="438"/>
      <c r="H198" s="438"/>
      <c r="I198" s="438"/>
      <c r="J198" s="438"/>
      <c r="K198" s="439"/>
      <c r="L198" s="438"/>
      <c r="M198" s="438"/>
      <c r="N198" s="320"/>
      <c r="O198" s="326"/>
      <c r="P198" s="326"/>
      <c r="Q198" s="866"/>
      <c r="R198" s="642"/>
      <c r="S198" s="642"/>
      <c r="T198" s="866"/>
      <c r="U198" s="866"/>
      <c r="V198" s="866"/>
      <c r="W198" s="866"/>
      <c r="X198" s="866"/>
      <c r="Y198" s="866"/>
      <c r="Z198" s="866"/>
      <c r="AA198" s="866"/>
      <c r="AB198" s="866"/>
      <c r="AC198" s="866"/>
      <c r="AD198" s="866"/>
      <c r="AE198" s="868"/>
      <c r="AF198" s="868"/>
      <c r="AG198" s="866"/>
      <c r="AH198" s="866"/>
      <c r="AI198" s="868"/>
      <c r="AJ198" s="868"/>
      <c r="AK198" s="866"/>
      <c r="AL198" s="866"/>
      <c r="AM198" s="866"/>
      <c r="AN198" s="866"/>
      <c r="AO198" s="866"/>
      <c r="AP198" s="866"/>
      <c r="AQ198" s="866"/>
      <c r="AR198" s="866"/>
      <c r="AS198" s="866"/>
      <c r="AT198" s="866"/>
      <c r="AU198" s="866"/>
      <c r="AV198" s="866"/>
      <c r="AW198" s="866"/>
      <c r="AX198" s="866"/>
      <c r="AY198" s="866"/>
      <c r="AZ198" s="866"/>
      <c r="BA198" s="866"/>
      <c r="BB198" s="866"/>
      <c r="BC198" s="866"/>
      <c r="BD198" s="866"/>
      <c r="BE198" s="866"/>
    </row>
    <row r="199" spans="1:57" s="867" customFormat="1" ht="16.5" customHeight="1" x14ac:dyDescent="0.25">
      <c r="A199" s="1093" t="s">
        <v>584</v>
      </c>
      <c r="B199" s="1093"/>
      <c r="C199" s="438"/>
      <c r="D199" s="438"/>
      <c r="E199" s="438"/>
      <c r="F199" s="438"/>
      <c r="G199" s="438"/>
      <c r="H199" s="438"/>
      <c r="I199" s="438"/>
      <c r="J199" s="438"/>
      <c r="K199" s="439"/>
      <c r="L199" s="438"/>
      <c r="M199" s="438"/>
      <c r="N199" s="320"/>
      <c r="O199" s="326"/>
      <c r="P199" s="326"/>
      <c r="Q199" s="866"/>
      <c r="R199" s="642"/>
      <c r="S199" s="642"/>
      <c r="T199" s="866"/>
      <c r="U199" s="866"/>
      <c r="V199" s="866"/>
      <c r="W199" s="866"/>
      <c r="X199" s="866"/>
      <c r="Y199" s="866"/>
      <c r="Z199" s="866"/>
      <c r="AA199" s="866"/>
      <c r="AB199" s="866"/>
      <c r="AC199" s="866"/>
      <c r="AD199" s="866"/>
      <c r="AE199" s="868"/>
      <c r="AF199" s="868"/>
      <c r="AG199" s="866"/>
      <c r="AH199" s="866"/>
      <c r="AI199" s="868"/>
      <c r="AJ199" s="868"/>
      <c r="AK199" s="866"/>
      <c r="AL199" s="866"/>
      <c r="AM199" s="866"/>
      <c r="AN199" s="866"/>
      <c r="AO199" s="866"/>
      <c r="AP199" s="866"/>
      <c r="AQ199" s="866"/>
      <c r="AR199" s="866"/>
      <c r="AS199" s="866"/>
      <c r="AT199" s="866"/>
      <c r="AU199" s="866"/>
      <c r="AV199" s="866"/>
      <c r="AW199" s="866"/>
      <c r="AX199" s="866"/>
      <c r="AY199" s="866"/>
      <c r="AZ199" s="866"/>
      <c r="BA199" s="866"/>
      <c r="BB199" s="866"/>
      <c r="BC199" s="866"/>
      <c r="BD199" s="866"/>
      <c r="BE199" s="866"/>
    </row>
    <row r="200" spans="1:57" x14ac:dyDescent="0.25">
      <c r="A200" s="465"/>
      <c r="B200" s="465"/>
      <c r="C200" s="465"/>
      <c r="D200" s="465"/>
      <c r="E200" s="465"/>
      <c r="F200" s="465"/>
      <c r="G200" s="465"/>
      <c r="H200" s="465"/>
      <c r="I200" s="465"/>
      <c r="J200" s="465"/>
      <c r="K200" s="325"/>
      <c r="L200" s="325"/>
      <c r="M200" s="466"/>
      <c r="N200" s="466"/>
      <c r="O200" s="758"/>
      <c r="P200" s="758"/>
    </row>
    <row r="201" spans="1:57" ht="15" hidden="1" thickTop="1" thickBot="1" x14ac:dyDescent="0.3">
      <c r="A201" s="319" t="s">
        <v>379</v>
      </c>
      <c r="B201" s="319"/>
      <c r="C201" s="320"/>
      <c r="D201" s="320"/>
      <c r="E201" s="320"/>
      <c r="F201" s="320"/>
      <c r="G201" s="320"/>
      <c r="H201" s="320"/>
      <c r="I201" s="320"/>
      <c r="J201" s="320"/>
      <c r="K201" s="320"/>
      <c r="L201" s="321" t="s">
        <v>60</v>
      </c>
      <c r="M201" s="320"/>
      <c r="N201" s="311" t="s">
        <v>275</v>
      </c>
    </row>
    <row r="202" spans="1:57" ht="15" hidden="1" thickTop="1" thickBot="1" x14ac:dyDescent="0.3">
      <c r="A202" s="319" t="s">
        <v>211</v>
      </c>
      <c r="B202" s="319"/>
      <c r="C202" s="319"/>
      <c r="D202" s="319"/>
      <c r="E202" s="319"/>
      <c r="F202" s="320"/>
      <c r="G202" s="320"/>
      <c r="H202" s="320"/>
      <c r="I202" s="320"/>
      <c r="J202" s="320"/>
      <c r="K202" s="309"/>
      <c r="L202" s="320"/>
      <c r="M202" s="321" t="s">
        <v>59</v>
      </c>
      <c r="N202" s="320"/>
      <c r="O202" s="275"/>
      <c r="P202" s="275"/>
    </row>
    <row r="203" spans="1:57" hidden="1" x14ac:dyDescent="0.25">
      <c r="A203" s="322" t="s">
        <v>446</v>
      </c>
      <c r="B203" s="322"/>
      <c r="C203" s="323"/>
      <c r="D203" s="323"/>
      <c r="E203" s="323"/>
      <c r="F203" s="323"/>
      <c r="G203" s="323"/>
      <c r="H203" s="323"/>
      <c r="I203" s="323"/>
      <c r="J203" s="323"/>
      <c r="K203" s="323"/>
      <c r="L203" s="322"/>
      <c r="M203" s="320"/>
      <c r="N203" s="320"/>
    </row>
    <row r="204" spans="1:57" hidden="1" x14ac:dyDescent="0.25">
      <c r="A204" s="666"/>
      <c r="B204" s="666"/>
      <c r="C204" s="666"/>
      <c r="D204" s="666"/>
      <c r="E204" s="666"/>
      <c r="F204" s="666"/>
      <c r="G204" s="666"/>
      <c r="H204" s="666"/>
      <c r="I204" s="666"/>
      <c r="J204" s="666"/>
      <c r="K204" s="666"/>
      <c r="L204" s="666"/>
      <c r="M204" s="668" t="s">
        <v>198</v>
      </c>
      <c r="N204" s="320"/>
    </row>
    <row r="205" spans="1:57" hidden="1" x14ac:dyDescent="0.25">
      <c r="A205" s="666"/>
      <c r="B205" s="666"/>
      <c r="C205" s="666"/>
      <c r="D205" s="666"/>
      <c r="E205" s="666"/>
      <c r="F205" s="666"/>
      <c r="G205" s="666"/>
      <c r="H205" s="666"/>
      <c r="I205" s="666"/>
      <c r="J205" s="666"/>
      <c r="K205" s="666"/>
      <c r="L205" s="666"/>
      <c r="M205" s="669">
        <v>0.69499999999999995</v>
      </c>
      <c r="N205" s="320"/>
    </row>
    <row r="206" spans="1:57" hidden="1" x14ac:dyDescent="0.25">
      <c r="A206" s="666"/>
      <c r="B206" s="666"/>
      <c r="C206" s="666"/>
      <c r="D206" s="666"/>
      <c r="E206" s="666"/>
      <c r="F206" s="666"/>
      <c r="G206" s="666"/>
      <c r="H206" s="666"/>
      <c r="I206" s="666"/>
      <c r="J206" s="666"/>
      <c r="K206" s="666"/>
      <c r="L206" s="666"/>
      <c r="M206" s="669">
        <v>0.34</v>
      </c>
      <c r="N206" s="320"/>
    </row>
    <row r="207" spans="1:57" hidden="1" x14ac:dyDescent="0.25">
      <c r="A207" s="666"/>
      <c r="B207" s="666"/>
      <c r="C207" s="666"/>
      <c r="D207" s="666"/>
      <c r="E207" s="666"/>
      <c r="F207" s="666"/>
      <c r="G207" s="666"/>
      <c r="H207" s="666"/>
      <c r="I207" s="666"/>
      <c r="J207" s="666"/>
      <c r="K207" s="666"/>
      <c r="L207" s="666"/>
      <c r="M207" s="669">
        <v>0.41</v>
      </c>
      <c r="N207" s="320"/>
    </row>
    <row r="208" spans="1:57" ht="15" hidden="1" thickTop="1" thickBot="1" x14ac:dyDescent="0.3">
      <c r="A208" s="323"/>
      <c r="B208" s="323"/>
      <c r="C208" s="323"/>
      <c r="D208" s="323"/>
      <c r="E208" s="323"/>
      <c r="F208" s="323"/>
      <c r="G208" s="323"/>
      <c r="H208" s="323"/>
      <c r="I208" s="323"/>
      <c r="J208" s="323"/>
      <c r="K208" s="323"/>
      <c r="L208" s="467" t="s">
        <v>203</v>
      </c>
      <c r="M208" s="468"/>
      <c r="N208" s="320"/>
    </row>
    <row r="209" spans="1:14" hidden="1" x14ac:dyDescent="0.25">
      <c r="A209" s="666"/>
      <c r="B209" s="666"/>
      <c r="C209" s="666"/>
      <c r="D209" s="666"/>
      <c r="E209" s="666"/>
      <c r="F209" s="666"/>
      <c r="G209" s="666"/>
      <c r="H209" s="666"/>
      <c r="I209" s="666"/>
      <c r="J209" s="666"/>
      <c r="K209" s="666"/>
      <c r="L209" s="666"/>
      <c r="M209" s="668" t="s">
        <v>205</v>
      </c>
      <c r="N209" s="666"/>
    </row>
    <row r="210" spans="1:14" hidden="1" x14ac:dyDescent="0.25">
      <c r="A210" s="666"/>
      <c r="B210" s="666"/>
      <c r="C210" s="666"/>
      <c r="D210" s="666"/>
      <c r="E210" s="666"/>
      <c r="F210" s="666"/>
      <c r="G210" s="666"/>
      <c r="H210" s="666"/>
      <c r="I210" s="666"/>
      <c r="J210" s="666"/>
      <c r="K210" s="666"/>
      <c r="L210" s="666"/>
      <c r="M210" s="669">
        <v>0.26</v>
      </c>
      <c r="N210" s="666"/>
    </row>
    <row r="211" spans="1:14" hidden="1" x14ac:dyDescent="0.25">
      <c r="A211" s="666"/>
      <c r="B211" s="666"/>
      <c r="C211" s="666"/>
      <c r="D211" s="666"/>
      <c r="E211" s="666"/>
      <c r="F211" s="666"/>
      <c r="G211" s="666"/>
      <c r="H211" s="666"/>
      <c r="I211" s="666"/>
      <c r="J211" s="666"/>
      <c r="K211" s="666"/>
      <c r="L211" s="666"/>
      <c r="M211" s="669">
        <v>0.34</v>
      </c>
      <c r="N211" s="666"/>
    </row>
    <row r="212" spans="1:14" hidden="1" x14ac:dyDescent="0.25">
      <c r="A212" s="666"/>
      <c r="B212" s="666"/>
      <c r="C212" s="666"/>
      <c r="D212" s="666"/>
      <c r="E212" s="666"/>
      <c r="F212" s="666"/>
      <c r="G212" s="666"/>
      <c r="H212" s="666"/>
      <c r="I212" s="666"/>
      <c r="J212" s="666"/>
      <c r="K212" s="666"/>
      <c r="L212" s="666"/>
      <c r="M212" s="669">
        <v>0.41</v>
      </c>
      <c r="N212" s="666"/>
    </row>
    <row r="213" spans="1:14" ht="20.25" hidden="1" customHeight="1" thickTop="1" thickBot="1" x14ac:dyDescent="0.3">
      <c r="A213" s="323"/>
      <c r="B213" s="323"/>
      <c r="C213" s="323"/>
      <c r="D213" s="323"/>
      <c r="E213" s="323"/>
      <c r="F213" s="323"/>
      <c r="G213" s="323"/>
      <c r="H213" s="323"/>
      <c r="I213" s="323"/>
      <c r="J213" s="323"/>
      <c r="K213" s="323"/>
      <c r="L213" s="467" t="s">
        <v>204</v>
      </c>
      <c r="M213" s="324"/>
      <c r="N213" s="320"/>
    </row>
    <row r="214" spans="1:14" hidden="1" x14ac:dyDescent="0.25">
      <c r="A214" s="319" t="s">
        <v>207</v>
      </c>
      <c r="B214" s="319"/>
      <c r="C214" s="320"/>
      <c r="D214" s="320"/>
      <c r="E214" s="320"/>
      <c r="F214" s="320"/>
      <c r="G214" s="320"/>
      <c r="H214" s="320"/>
      <c r="I214" s="320"/>
      <c r="J214" s="320"/>
      <c r="K214" s="320"/>
      <c r="L214" s="320"/>
      <c r="M214" s="320"/>
      <c r="N214" s="320"/>
    </row>
    <row r="215" spans="1:14" hidden="1" x14ac:dyDescent="0.25">
      <c r="A215" s="319" t="s">
        <v>221</v>
      </c>
      <c r="B215" s="319"/>
      <c r="C215" s="320"/>
      <c r="D215" s="320"/>
      <c r="E215" s="320"/>
      <c r="F215" s="320"/>
      <c r="G215" s="320"/>
      <c r="H215" s="320"/>
      <c r="I215" s="320"/>
      <c r="J215" s="320"/>
      <c r="K215" s="320"/>
      <c r="L215" s="320"/>
      <c r="M215" s="320"/>
      <c r="N215" s="320"/>
    </row>
    <row r="216" spans="1:14" hidden="1" x14ac:dyDescent="0.25">
      <c r="A216" s="319" t="s">
        <v>292</v>
      </c>
      <c r="B216" s="319"/>
      <c r="C216" s="320"/>
      <c r="D216" s="320"/>
      <c r="E216" s="320"/>
      <c r="F216" s="320"/>
      <c r="G216" s="320"/>
      <c r="H216" s="320"/>
      <c r="I216" s="320"/>
      <c r="J216" s="320"/>
      <c r="K216" s="320"/>
      <c r="L216" s="320"/>
      <c r="M216" s="320"/>
      <c r="N216" s="320"/>
    </row>
    <row r="217" spans="1:14" hidden="1" x14ac:dyDescent="0.25">
      <c r="A217" s="319" t="s">
        <v>210</v>
      </c>
      <c r="B217" s="319"/>
      <c r="C217" s="320"/>
      <c r="D217" s="320"/>
      <c r="E217" s="320"/>
      <c r="F217" s="320"/>
      <c r="G217" s="320"/>
      <c r="H217" s="320"/>
      <c r="I217" s="320"/>
      <c r="J217" s="320"/>
      <c r="K217" s="320"/>
      <c r="L217" s="320"/>
      <c r="M217" s="320"/>
      <c r="N217" s="320"/>
    </row>
    <row r="218" spans="1:14" ht="5.25" hidden="1" customHeight="1" x14ac:dyDescent="0.25">
      <c r="A218" s="319"/>
      <c r="B218" s="319"/>
      <c r="C218" s="320"/>
      <c r="D218" s="320"/>
      <c r="E218" s="320"/>
      <c r="F218" s="320"/>
      <c r="G218" s="320"/>
      <c r="H218" s="320"/>
      <c r="I218" s="320"/>
      <c r="J218" s="320"/>
      <c r="K218" s="320"/>
      <c r="L218" s="320"/>
      <c r="M218" s="320"/>
      <c r="N218" s="320"/>
    </row>
    <row r="219" spans="1:14" hidden="1" x14ac:dyDescent="0.25">
      <c r="A219" s="319" t="s">
        <v>225</v>
      </c>
      <c r="B219" s="319"/>
      <c r="C219" s="320"/>
      <c r="D219" s="320"/>
      <c r="E219" s="320"/>
      <c r="F219" s="320"/>
      <c r="G219" s="320"/>
      <c r="H219" s="320"/>
      <c r="I219" s="320"/>
      <c r="J219" s="320"/>
      <c r="K219" s="320"/>
      <c r="L219" s="320"/>
      <c r="M219" s="320"/>
      <c r="N219" s="320"/>
    </row>
    <row r="220" spans="1:14" hidden="1" x14ac:dyDescent="0.25">
      <c r="A220" s="319" t="s">
        <v>176</v>
      </c>
      <c r="B220" s="319"/>
      <c r="C220" s="320"/>
      <c r="D220" s="320"/>
      <c r="E220" s="320"/>
      <c r="F220" s="320"/>
      <c r="G220" s="320"/>
      <c r="H220" s="320"/>
      <c r="I220" s="320"/>
      <c r="J220" s="320"/>
      <c r="K220" s="320"/>
      <c r="L220" s="320"/>
      <c r="M220" s="320"/>
      <c r="N220" s="320"/>
    </row>
    <row r="221" spans="1:14" hidden="1" x14ac:dyDescent="0.25">
      <c r="A221" s="319" t="s">
        <v>214</v>
      </c>
      <c r="B221" s="319"/>
      <c r="C221" s="320"/>
      <c r="D221" s="320"/>
      <c r="E221" s="320"/>
      <c r="F221" s="320"/>
      <c r="G221" s="320"/>
      <c r="H221" s="320"/>
      <c r="I221" s="320"/>
      <c r="J221" s="320"/>
      <c r="K221" s="320"/>
      <c r="L221" s="320"/>
      <c r="M221" s="320"/>
      <c r="N221" s="320"/>
    </row>
    <row r="222" spans="1:14" hidden="1" x14ac:dyDescent="0.25">
      <c r="A222" s="319" t="s">
        <v>177</v>
      </c>
      <c r="B222" s="319"/>
      <c r="C222" s="320"/>
      <c r="D222" s="320"/>
      <c r="E222" s="320"/>
      <c r="F222" s="320"/>
      <c r="G222" s="320"/>
      <c r="H222" s="320"/>
      <c r="I222" s="320"/>
      <c r="J222" s="320"/>
      <c r="K222" s="320"/>
      <c r="L222" s="320"/>
      <c r="M222" s="320"/>
      <c r="N222" s="320"/>
    </row>
    <row r="223" spans="1:14" hidden="1" x14ac:dyDescent="0.25">
      <c r="A223" s="319" t="s">
        <v>215</v>
      </c>
      <c r="B223" s="319"/>
      <c r="C223" s="320"/>
      <c r="D223" s="320"/>
      <c r="E223" s="320"/>
      <c r="F223" s="320"/>
      <c r="G223" s="320"/>
      <c r="H223" s="320"/>
      <c r="I223" s="320"/>
      <c r="J223" s="320"/>
      <c r="K223" s="320"/>
      <c r="L223" s="320"/>
      <c r="M223" s="320"/>
      <c r="N223" s="320"/>
    </row>
    <row r="224" spans="1:14" hidden="1" x14ac:dyDescent="0.25">
      <c r="A224" s="319" t="s">
        <v>189</v>
      </c>
      <c r="B224" s="319"/>
      <c r="C224" s="320"/>
      <c r="D224" s="320"/>
      <c r="E224" s="320"/>
      <c r="F224" s="320"/>
      <c r="G224" s="320"/>
      <c r="H224" s="320"/>
      <c r="I224" s="320"/>
      <c r="J224" s="320"/>
      <c r="K224" s="320"/>
      <c r="L224" s="320"/>
      <c r="M224" s="320"/>
      <c r="N224" s="320"/>
    </row>
    <row r="225" spans="1:57" hidden="1" x14ac:dyDescent="0.25">
      <c r="A225" s="319" t="s">
        <v>216</v>
      </c>
      <c r="B225" s="319"/>
      <c r="C225" s="320"/>
      <c r="D225" s="320"/>
      <c r="E225" s="320"/>
      <c r="F225" s="320"/>
      <c r="G225" s="320"/>
      <c r="H225" s="320"/>
      <c r="I225" s="320"/>
      <c r="J225" s="320"/>
      <c r="K225" s="320"/>
      <c r="L225" s="320"/>
      <c r="M225" s="320"/>
      <c r="N225" s="320"/>
    </row>
    <row r="226" spans="1:57" hidden="1" x14ac:dyDescent="0.25">
      <c r="A226" s="319" t="s">
        <v>217</v>
      </c>
      <c r="B226" s="319"/>
      <c r="C226" s="320"/>
      <c r="D226" s="320"/>
      <c r="E226" s="320"/>
      <c r="F226" s="320"/>
      <c r="G226" s="320"/>
      <c r="H226" s="320"/>
      <c r="I226" s="320"/>
      <c r="J226" s="320"/>
      <c r="K226" s="320"/>
      <c r="L226" s="320"/>
      <c r="M226" s="320"/>
      <c r="N226" s="320"/>
    </row>
    <row r="227" spans="1:57" ht="18" hidden="1" x14ac:dyDescent="0.25">
      <c r="A227" s="436"/>
      <c r="B227" s="436"/>
      <c r="C227" s="436"/>
      <c r="D227" s="436"/>
      <c r="E227" s="436"/>
      <c r="F227" s="436"/>
      <c r="G227" s="436"/>
      <c r="H227" s="436"/>
      <c r="I227" s="436"/>
      <c r="J227" s="436"/>
      <c r="K227" s="627"/>
      <c r="L227" s="629"/>
      <c r="M227" s="629"/>
      <c r="N227" s="629"/>
      <c r="O227" s="742"/>
      <c r="P227" s="742"/>
    </row>
    <row r="228" spans="1:57" ht="18.600000000000001" thickBot="1" x14ac:dyDescent="0.3">
      <c r="A228" s="1235" t="s">
        <v>600</v>
      </c>
      <c r="B228" s="1235"/>
      <c r="C228" s="453"/>
      <c r="D228" s="453"/>
      <c r="E228" s="453"/>
      <c r="F228" s="328"/>
      <c r="G228" s="328"/>
      <c r="H228" s="328"/>
      <c r="I228" s="328"/>
      <c r="J228" s="328"/>
      <c r="K228" s="627"/>
      <c r="L228" s="629"/>
      <c r="M228" s="629"/>
      <c r="N228" s="629"/>
      <c r="O228" s="742"/>
      <c r="P228" s="742"/>
    </row>
    <row r="229" spans="1:57" ht="15" thickTop="1" thickBot="1" x14ac:dyDescent="0.3">
      <c r="A229" s="1226" t="s">
        <v>564</v>
      </c>
      <c r="B229" s="1226"/>
      <c r="C229" s="319"/>
      <c r="D229" s="319"/>
      <c r="E229" s="319"/>
      <c r="F229" s="320"/>
      <c r="G229" s="320"/>
      <c r="H229" s="320"/>
      <c r="I229" s="320"/>
      <c r="J229" s="320"/>
      <c r="K229" s="320"/>
      <c r="L229" s="321" t="s">
        <v>59</v>
      </c>
      <c r="M229" s="320"/>
      <c r="N229" s="1094" t="s">
        <v>444</v>
      </c>
      <c r="O229" s="555"/>
      <c r="P229" s="555"/>
    </row>
    <row r="230" spans="1:57" ht="15" thickTop="1" thickBot="1" x14ac:dyDescent="0.3">
      <c r="A230" s="1226" t="s">
        <v>142</v>
      </c>
      <c r="B230" s="1226"/>
      <c r="C230" s="319"/>
      <c r="D230" s="319"/>
      <c r="E230" s="319"/>
      <c r="F230" s="320"/>
      <c r="G230" s="320"/>
      <c r="H230" s="320"/>
      <c r="I230" s="320"/>
      <c r="J230" s="320"/>
      <c r="K230" s="320"/>
      <c r="L230" s="320"/>
      <c r="M230" s="449"/>
      <c r="N230" s="320"/>
    </row>
    <row r="231" spans="1:57" s="15" customFormat="1" ht="15" thickTop="1" thickBot="1" x14ac:dyDescent="0.3">
      <c r="A231" s="453"/>
      <c r="B231" s="453"/>
      <c r="C231" s="453"/>
      <c r="D231" s="453"/>
      <c r="E231" s="453"/>
      <c r="F231" s="328"/>
      <c r="G231" s="328"/>
      <c r="H231" s="328"/>
      <c r="I231" s="328"/>
      <c r="J231" s="328"/>
      <c r="K231" s="328"/>
      <c r="L231" s="328"/>
      <c r="M231" s="328"/>
      <c r="N231" s="1223"/>
      <c r="O231" s="1223"/>
      <c r="P231" s="1223"/>
      <c r="Q231" s="328"/>
      <c r="R231" s="639"/>
      <c r="S231" s="639"/>
      <c r="T231" s="328"/>
      <c r="U231" s="328"/>
      <c r="V231" s="328"/>
      <c r="W231" s="328"/>
      <c r="X231" s="328"/>
      <c r="Y231" s="328"/>
      <c r="Z231" s="328"/>
      <c r="AA231" s="328"/>
      <c r="AB231" s="328"/>
      <c r="AC231" s="328"/>
      <c r="AD231" s="328"/>
      <c r="AE231" s="512"/>
      <c r="AF231" s="512"/>
      <c r="AG231" s="328"/>
      <c r="AH231" s="328"/>
      <c r="AI231" s="512"/>
      <c r="AJ231" s="512"/>
      <c r="AK231" s="328"/>
      <c r="AL231" s="328"/>
      <c r="AM231" s="328"/>
      <c r="AN231" s="328"/>
      <c r="AO231" s="328"/>
      <c r="AP231" s="328"/>
      <c r="AQ231" s="328"/>
      <c r="AR231" s="328"/>
      <c r="AS231" s="328"/>
      <c r="AT231" s="328"/>
      <c r="AU231" s="328"/>
      <c r="AV231" s="328"/>
      <c r="AW231" s="328"/>
      <c r="AX231" s="328"/>
      <c r="AY231" s="328"/>
      <c r="AZ231" s="328"/>
      <c r="BA231" s="328"/>
      <c r="BB231" s="328"/>
      <c r="BC231" s="328"/>
      <c r="BD231" s="328"/>
      <c r="BE231" s="328"/>
    </row>
    <row r="232" spans="1:57" ht="16.5" customHeight="1" thickTop="1" thickBot="1" x14ac:dyDescent="0.3">
      <c r="A232" s="1093" t="s">
        <v>381</v>
      </c>
      <c r="B232" s="1093"/>
      <c r="C232" s="438"/>
      <c r="D232" s="438"/>
      <c r="E232" s="438"/>
      <c r="F232" s="438"/>
      <c r="G232" s="438"/>
      <c r="H232" s="438"/>
      <c r="I232" s="438"/>
      <c r="J232" s="320"/>
      <c r="K232" s="438"/>
      <c r="L232" s="321" t="s">
        <v>60</v>
      </c>
      <c r="M232" s="438"/>
      <c r="N232" s="1094" t="s">
        <v>114</v>
      </c>
      <c r="O232" s="582"/>
      <c r="P232" s="582"/>
    </row>
    <row r="233" spans="1:57" ht="15" thickTop="1" thickBot="1" x14ac:dyDescent="0.3">
      <c r="A233" s="1226" t="s">
        <v>122</v>
      </c>
      <c r="B233" s="1226"/>
      <c r="C233" s="319"/>
      <c r="D233" s="319"/>
      <c r="E233" s="319"/>
      <c r="F233" s="320"/>
      <c r="G233" s="320"/>
      <c r="H233" s="320"/>
      <c r="I233" s="320"/>
      <c r="J233" s="320"/>
      <c r="K233" s="320"/>
      <c r="L233" s="320"/>
      <c r="M233" s="320"/>
      <c r="N233" s="320"/>
    </row>
    <row r="234" spans="1:57" ht="15" thickTop="1" thickBot="1" x14ac:dyDescent="0.3">
      <c r="A234" s="319"/>
      <c r="B234" s="319"/>
      <c r="C234" s="319"/>
      <c r="D234" s="319"/>
      <c r="E234" s="319"/>
      <c r="F234" s="320"/>
      <c r="G234" s="320"/>
      <c r="H234" s="320"/>
      <c r="I234" s="320"/>
      <c r="J234" s="320"/>
      <c r="K234" s="320"/>
      <c r="L234" s="320"/>
      <c r="M234" s="320"/>
      <c r="N234" s="452"/>
      <c r="O234" s="743"/>
      <c r="P234" s="743"/>
    </row>
    <row r="235" spans="1:57" ht="15" thickTop="1" thickBot="1" x14ac:dyDescent="0.3">
      <c r="A235" s="319"/>
      <c r="B235" s="319"/>
      <c r="C235" s="319"/>
      <c r="D235" s="319"/>
      <c r="E235" s="319"/>
      <c r="F235" s="320"/>
      <c r="G235" s="320"/>
      <c r="H235" s="320"/>
      <c r="I235" s="320"/>
      <c r="J235" s="320"/>
      <c r="K235" s="320"/>
      <c r="L235" s="320"/>
      <c r="M235" s="320"/>
      <c r="N235" s="452"/>
      <c r="O235" s="743"/>
      <c r="P235" s="743"/>
    </row>
    <row r="236" spans="1:57" ht="15" thickTop="1" thickBot="1" x14ac:dyDescent="0.3">
      <c r="A236" s="319"/>
      <c r="B236" s="319"/>
      <c r="C236" s="319"/>
      <c r="D236" s="319"/>
      <c r="E236" s="319"/>
      <c r="F236" s="320"/>
      <c r="G236" s="320"/>
      <c r="H236" s="320"/>
      <c r="I236" s="320"/>
      <c r="J236" s="320"/>
      <c r="K236" s="320"/>
      <c r="L236" s="320"/>
      <c r="M236" s="320"/>
      <c r="N236" s="452"/>
      <c r="O236" s="743"/>
      <c r="P236" s="743"/>
    </row>
    <row r="237" spans="1:57" s="867" customFormat="1" ht="14.4" thickTop="1" x14ac:dyDescent="0.25">
      <c r="A237" s="450"/>
      <c r="B237" s="450"/>
      <c r="C237" s="450"/>
      <c r="D237" s="450"/>
      <c r="E237" s="450"/>
      <c r="F237" s="325"/>
      <c r="G237" s="325"/>
      <c r="H237" s="325"/>
      <c r="I237" s="325"/>
      <c r="J237" s="325"/>
      <c r="K237" s="325"/>
      <c r="L237" s="325"/>
      <c r="M237" s="325"/>
      <c r="N237" s="451"/>
      <c r="O237" s="743"/>
      <c r="P237" s="743"/>
      <c r="Q237" s="866"/>
      <c r="R237" s="642"/>
      <c r="S237" s="642"/>
      <c r="T237" s="866"/>
      <c r="U237" s="866"/>
      <c r="V237" s="866"/>
      <c r="W237" s="866"/>
      <c r="X237" s="866"/>
      <c r="Y237" s="866"/>
      <c r="Z237" s="866"/>
      <c r="AA237" s="866"/>
      <c r="AB237" s="866"/>
      <c r="AC237" s="866"/>
      <c r="AD237" s="866"/>
      <c r="AE237" s="868"/>
      <c r="AF237" s="868"/>
      <c r="AG237" s="866"/>
      <c r="AH237" s="866"/>
      <c r="AI237" s="868"/>
      <c r="AJ237" s="868"/>
      <c r="AK237" s="866"/>
      <c r="AL237" s="866"/>
      <c r="AM237" s="866"/>
      <c r="AN237" s="866"/>
      <c r="AO237" s="866"/>
      <c r="AP237" s="866"/>
      <c r="AQ237" s="866"/>
      <c r="AR237" s="866"/>
      <c r="AS237" s="866"/>
      <c r="AT237" s="866"/>
      <c r="AU237" s="866"/>
      <c r="AV237" s="866"/>
      <c r="AW237" s="866"/>
      <c r="AX237" s="866"/>
      <c r="AY237" s="866"/>
      <c r="AZ237" s="866"/>
      <c r="BA237" s="866"/>
      <c r="BB237" s="866"/>
      <c r="BC237" s="866"/>
      <c r="BD237" s="866"/>
      <c r="BE237" s="866"/>
    </row>
    <row r="238" spans="1:57" ht="25.5" customHeight="1" thickBot="1" x14ac:dyDescent="0.3">
      <c r="A238" s="1235" t="s">
        <v>566</v>
      </c>
      <c r="B238" s="1235"/>
      <c r="C238" s="453"/>
      <c r="D238" s="453"/>
      <c r="E238" s="453"/>
      <c r="F238" s="328"/>
      <c r="G238" s="328"/>
      <c r="H238" s="328"/>
      <c r="I238" s="328"/>
      <c r="J238" s="328"/>
      <c r="K238" s="328"/>
      <c r="L238" s="328"/>
      <c r="M238" s="328"/>
      <c r="N238" s="443"/>
      <c r="O238" s="522"/>
      <c r="P238" s="522"/>
      <c r="AP238" s="708" t="s">
        <v>183</v>
      </c>
      <c r="AR238" s="725" t="e">
        <f>AR100/AT100</f>
        <v>#REF!</v>
      </c>
      <c r="AS238" s="725" t="e">
        <f>AS100/AT100</f>
        <v>#REF!</v>
      </c>
      <c r="AT238" s="737" t="e">
        <f>AR238+AS238</f>
        <v>#REF!</v>
      </c>
    </row>
    <row r="239" spans="1:57" ht="15" thickTop="1" thickBot="1" x14ac:dyDescent="0.3">
      <c r="A239" s="1226" t="s">
        <v>384</v>
      </c>
      <c r="B239" s="1226"/>
      <c r="C239" s="319"/>
      <c r="D239" s="319"/>
      <c r="E239" s="319"/>
      <c r="F239" s="320"/>
      <c r="G239" s="320"/>
      <c r="H239" s="320"/>
      <c r="I239" s="320"/>
      <c r="J239" s="320"/>
      <c r="K239" s="309"/>
      <c r="L239" s="321" t="s">
        <v>59</v>
      </c>
      <c r="M239" s="320"/>
      <c r="N239" s="1094" t="s">
        <v>52</v>
      </c>
    </row>
    <row r="240" spans="1:57" ht="15" hidden="1" thickTop="1" thickBot="1" x14ac:dyDescent="0.3">
      <c r="A240" s="665"/>
      <c r="B240" s="665"/>
      <c r="C240" s="665"/>
      <c r="D240" s="665"/>
      <c r="E240" s="665"/>
      <c r="F240" s="666"/>
      <c r="G240" s="666"/>
      <c r="H240" s="666"/>
      <c r="I240" s="666"/>
      <c r="J240" s="666"/>
      <c r="K240" s="667"/>
      <c r="L240" s="666"/>
      <c r="M240" s="668" t="s">
        <v>56</v>
      </c>
      <c r="N240" s="666"/>
    </row>
    <row r="241" spans="1:57" ht="15" hidden="1" thickTop="1" thickBot="1" x14ac:dyDescent="0.3">
      <c r="A241" s="665"/>
      <c r="B241" s="665"/>
      <c r="C241" s="665"/>
      <c r="D241" s="665"/>
      <c r="E241" s="665"/>
      <c r="F241" s="666"/>
      <c r="G241" s="666"/>
      <c r="H241" s="666"/>
      <c r="I241" s="666"/>
      <c r="J241" s="666"/>
      <c r="K241" s="667"/>
      <c r="L241" s="666"/>
      <c r="M241" s="669">
        <v>0</v>
      </c>
      <c r="N241" s="666"/>
    </row>
    <row r="242" spans="1:57" ht="15" hidden="1" thickTop="1" thickBot="1" x14ac:dyDescent="0.3">
      <c r="A242" s="665"/>
      <c r="B242" s="665"/>
      <c r="C242" s="665"/>
      <c r="D242" s="665"/>
      <c r="E242" s="665"/>
      <c r="F242" s="666"/>
      <c r="G242" s="666"/>
      <c r="H242" s="666"/>
      <c r="I242" s="666"/>
      <c r="J242" s="666"/>
      <c r="K242" s="667"/>
      <c r="L242" s="666"/>
      <c r="M242" s="669">
        <v>0.08</v>
      </c>
      <c r="N242" s="666"/>
    </row>
    <row r="243" spans="1:57" ht="15" hidden="1" thickTop="1" thickBot="1" x14ac:dyDescent="0.3">
      <c r="A243" s="665"/>
      <c r="B243" s="665"/>
      <c r="C243" s="665"/>
      <c r="D243" s="665"/>
      <c r="E243" s="665"/>
      <c r="F243" s="666"/>
      <c r="G243" s="666"/>
      <c r="H243" s="666"/>
      <c r="I243" s="666"/>
      <c r="J243" s="666"/>
      <c r="K243" s="667"/>
      <c r="L243" s="666"/>
      <c r="M243" s="669">
        <v>0.1</v>
      </c>
      <c r="N243" s="666"/>
    </row>
    <row r="244" spans="1:57" ht="15" hidden="1" thickTop="1" thickBot="1" x14ac:dyDescent="0.3">
      <c r="A244" s="665"/>
      <c r="B244" s="665"/>
      <c r="C244" s="665"/>
      <c r="D244" s="665"/>
      <c r="E244" s="665"/>
      <c r="F244" s="666"/>
      <c r="G244" s="666"/>
      <c r="H244" s="666"/>
      <c r="I244" s="666"/>
      <c r="J244" s="666"/>
      <c r="K244" s="667"/>
      <c r="L244" s="666"/>
      <c r="M244" s="669">
        <v>0.15</v>
      </c>
      <c r="N244" s="666"/>
    </row>
    <row r="245" spans="1:57" ht="15" hidden="1" thickTop="1" thickBot="1" x14ac:dyDescent="0.3">
      <c r="A245" s="665"/>
      <c r="B245" s="665"/>
      <c r="C245" s="665"/>
      <c r="D245" s="665"/>
      <c r="E245" s="665"/>
      <c r="F245" s="666"/>
      <c r="G245" s="666"/>
      <c r="H245" s="666"/>
      <c r="I245" s="666"/>
      <c r="J245" s="666"/>
      <c r="K245" s="667"/>
      <c r="L245" s="666"/>
      <c r="M245" s="669">
        <v>0.2</v>
      </c>
      <c r="N245" s="666"/>
    </row>
    <row r="246" spans="1:57" ht="15" hidden="1" thickTop="1" thickBot="1" x14ac:dyDescent="0.3">
      <c r="A246" s="665"/>
      <c r="B246" s="665"/>
      <c r="C246" s="665"/>
      <c r="D246" s="665"/>
      <c r="E246" s="665"/>
      <c r="F246" s="666"/>
      <c r="G246" s="666"/>
      <c r="H246" s="666"/>
      <c r="I246" s="666"/>
      <c r="J246" s="666"/>
      <c r="K246" s="667"/>
      <c r="L246" s="666"/>
      <c r="M246" s="669">
        <v>0.25</v>
      </c>
      <c r="N246" s="666"/>
    </row>
    <row r="247" spans="1:57" ht="15" hidden="1" thickTop="1" thickBot="1" x14ac:dyDescent="0.3">
      <c r="A247" s="665"/>
      <c r="B247" s="665"/>
      <c r="C247" s="665"/>
      <c r="D247" s="665"/>
      <c r="E247" s="665"/>
      <c r="F247" s="666"/>
      <c r="G247" s="666"/>
      <c r="H247" s="666"/>
      <c r="I247" s="666"/>
      <c r="J247" s="666"/>
      <c r="K247" s="667"/>
      <c r="L247" s="666"/>
      <c r="M247" s="669">
        <v>0.26</v>
      </c>
      <c r="N247" s="666"/>
    </row>
    <row r="248" spans="1:57" ht="15" hidden="1" thickTop="1" thickBot="1" x14ac:dyDescent="0.3">
      <c r="A248" s="665"/>
      <c r="B248" s="665"/>
      <c r="C248" s="665"/>
      <c r="D248" s="665"/>
      <c r="E248" s="665"/>
      <c r="F248" s="666"/>
      <c r="G248" s="666"/>
      <c r="H248" s="666"/>
      <c r="I248" s="666"/>
      <c r="J248" s="666"/>
      <c r="K248" s="667"/>
      <c r="L248" s="666"/>
      <c r="M248" s="669">
        <v>0.3</v>
      </c>
      <c r="N248" s="666"/>
    </row>
    <row r="249" spans="1:57" s="867" customFormat="1" ht="15" hidden="1" thickTop="1" thickBot="1" x14ac:dyDescent="0.3">
      <c r="A249" s="665"/>
      <c r="B249" s="665"/>
      <c r="C249" s="665"/>
      <c r="D249" s="665"/>
      <c r="E249" s="665"/>
      <c r="F249" s="666"/>
      <c r="G249" s="666"/>
      <c r="H249" s="666"/>
      <c r="I249" s="666"/>
      <c r="J249" s="666"/>
      <c r="K249" s="667"/>
      <c r="L249" s="666"/>
      <c r="M249" s="669">
        <v>0.33500000000000002</v>
      </c>
      <c r="N249" s="666"/>
      <c r="O249" s="326"/>
      <c r="P249" s="326"/>
      <c r="Q249" s="866"/>
      <c r="R249" s="642"/>
      <c r="S249" s="642"/>
      <c r="T249" s="866"/>
      <c r="U249" s="866"/>
      <c r="V249" s="866"/>
      <c r="W249" s="866"/>
      <c r="X249" s="866"/>
      <c r="Y249" s="866"/>
      <c r="Z249" s="866"/>
      <c r="AA249" s="866"/>
      <c r="AB249" s="866"/>
      <c r="AC249" s="866"/>
      <c r="AD249" s="866"/>
      <c r="AE249" s="868"/>
      <c r="AF249" s="868"/>
      <c r="AG249" s="866"/>
      <c r="AH249" s="866"/>
      <c r="AI249" s="868"/>
      <c r="AJ249" s="868"/>
      <c r="AK249" s="866"/>
      <c r="AL249" s="866"/>
      <c r="AM249" s="866"/>
      <c r="AN249" s="866"/>
      <c r="AO249" s="866"/>
      <c r="AP249" s="866"/>
      <c r="AQ249" s="866"/>
      <c r="AR249" s="866"/>
      <c r="AS249" s="866"/>
      <c r="AT249" s="866"/>
      <c r="AU249" s="866"/>
      <c r="AV249" s="866"/>
      <c r="AW249" s="866"/>
      <c r="AX249" s="866"/>
      <c r="AY249" s="866"/>
      <c r="AZ249" s="866"/>
      <c r="BA249" s="866"/>
      <c r="BB249" s="866"/>
      <c r="BC249" s="866"/>
      <c r="BD249" s="866"/>
      <c r="BE249" s="866"/>
    </row>
    <row r="250" spans="1:57" ht="15" hidden="1" thickTop="1" thickBot="1" x14ac:dyDescent="0.3">
      <c r="A250" s="665"/>
      <c r="B250" s="665"/>
      <c r="C250" s="665"/>
      <c r="D250" s="665"/>
      <c r="E250" s="665"/>
      <c r="F250" s="666"/>
      <c r="G250" s="666"/>
      <c r="H250" s="666"/>
      <c r="I250" s="666"/>
      <c r="J250" s="666"/>
      <c r="K250" s="667"/>
      <c r="L250" s="666"/>
      <c r="M250" s="669">
        <v>0.34</v>
      </c>
      <c r="N250" s="666"/>
    </row>
    <row r="251" spans="1:57" ht="15" hidden="1" thickTop="1" thickBot="1" x14ac:dyDescent="0.3">
      <c r="A251" s="665"/>
      <c r="B251" s="665"/>
      <c r="C251" s="665"/>
      <c r="D251" s="665"/>
      <c r="E251" s="665"/>
      <c r="F251" s="666"/>
      <c r="G251" s="666"/>
      <c r="H251" s="666"/>
      <c r="I251" s="666"/>
      <c r="J251" s="666"/>
      <c r="K251" s="667"/>
      <c r="L251" s="666"/>
      <c r="M251" s="669">
        <v>0.35</v>
      </c>
      <c r="N251" s="666"/>
    </row>
    <row r="252" spans="1:57" s="867" customFormat="1" ht="15" hidden="1" thickTop="1" thickBot="1" x14ac:dyDescent="0.3">
      <c r="A252" s="665"/>
      <c r="B252" s="665"/>
      <c r="C252" s="665"/>
      <c r="D252" s="665"/>
      <c r="E252" s="665"/>
      <c r="F252" s="666"/>
      <c r="G252" s="666"/>
      <c r="H252" s="666"/>
      <c r="I252" s="666"/>
      <c r="J252" s="666"/>
      <c r="K252" s="667"/>
      <c r="L252" s="666"/>
      <c r="M252" s="669">
        <v>0.376</v>
      </c>
      <c r="N252" s="666"/>
      <c r="O252" s="326"/>
      <c r="P252" s="326"/>
      <c r="Q252" s="866"/>
      <c r="R252" s="642"/>
      <c r="S252" s="642"/>
      <c r="T252" s="866"/>
      <c r="U252" s="866"/>
      <c r="V252" s="866"/>
      <c r="W252" s="866"/>
      <c r="X252" s="866"/>
      <c r="Y252" s="866"/>
      <c r="Z252" s="866"/>
      <c r="AA252" s="866"/>
      <c r="AB252" s="866"/>
      <c r="AC252" s="866"/>
      <c r="AD252" s="866"/>
      <c r="AE252" s="868"/>
      <c r="AF252" s="868"/>
      <c r="AG252" s="866"/>
      <c r="AH252" s="866"/>
      <c r="AI252" s="868"/>
      <c r="AJ252" s="868"/>
      <c r="AK252" s="866"/>
      <c r="AL252" s="866"/>
      <c r="AM252" s="866"/>
      <c r="AN252" s="866"/>
      <c r="AO252" s="866"/>
      <c r="AP252" s="866"/>
      <c r="AQ252" s="866"/>
      <c r="AR252" s="866"/>
      <c r="AS252" s="866"/>
      <c r="AT252" s="866"/>
      <c r="AU252" s="866"/>
      <c r="AV252" s="866"/>
      <c r="AW252" s="866"/>
      <c r="AX252" s="866"/>
      <c r="AY252" s="866"/>
      <c r="AZ252" s="866"/>
      <c r="BA252" s="866"/>
      <c r="BB252" s="866"/>
      <c r="BC252" s="866"/>
      <c r="BD252" s="866"/>
      <c r="BE252" s="866"/>
    </row>
    <row r="253" spans="1:57" ht="15" hidden="1" thickTop="1" thickBot="1" x14ac:dyDescent="0.3">
      <c r="A253" s="665"/>
      <c r="B253" s="665"/>
      <c r="C253" s="665"/>
      <c r="D253" s="665"/>
      <c r="E253" s="665"/>
      <c r="F253" s="666"/>
      <c r="G253" s="666"/>
      <c r="H253" s="666"/>
      <c r="I253" s="666"/>
      <c r="J253" s="666"/>
      <c r="K253" s="667"/>
      <c r="L253" s="666"/>
      <c r="M253" s="669">
        <v>0.4</v>
      </c>
      <c r="N253" s="666"/>
    </row>
    <row r="254" spans="1:57" ht="15" hidden="1" thickTop="1" thickBot="1" x14ac:dyDescent="0.3">
      <c r="A254" s="665"/>
      <c r="B254" s="665"/>
      <c r="C254" s="665"/>
      <c r="D254" s="665"/>
      <c r="E254" s="665"/>
      <c r="F254" s="666"/>
      <c r="G254" s="666"/>
      <c r="H254" s="666"/>
      <c r="I254" s="666"/>
      <c r="J254" s="666"/>
      <c r="K254" s="667"/>
      <c r="L254" s="666"/>
      <c r="M254" s="669">
        <v>0.41</v>
      </c>
      <c r="N254" s="666"/>
    </row>
    <row r="255" spans="1:57" s="867" customFormat="1" ht="15" hidden="1" thickTop="1" thickBot="1" x14ac:dyDescent="0.3">
      <c r="A255" s="665"/>
      <c r="B255" s="665"/>
      <c r="C255" s="665"/>
      <c r="D255" s="665"/>
      <c r="E255" s="665"/>
      <c r="F255" s="666"/>
      <c r="G255" s="666"/>
      <c r="H255" s="666"/>
      <c r="I255" s="666"/>
      <c r="J255" s="666"/>
      <c r="K255" s="667"/>
      <c r="L255" s="666"/>
      <c r="M255" s="669">
        <v>0.69</v>
      </c>
      <c r="N255" s="666"/>
      <c r="O255" s="326"/>
      <c r="P255" s="326"/>
      <c r="Q255" s="866"/>
      <c r="R255" s="642"/>
      <c r="S255" s="642"/>
      <c r="T255" s="866"/>
      <c r="U255" s="866"/>
      <c r="V255" s="866"/>
      <c r="W255" s="866"/>
      <c r="X255" s="866"/>
      <c r="Y255" s="866"/>
      <c r="Z255" s="866"/>
      <c r="AA255" s="866"/>
      <c r="AB255" s="866"/>
      <c r="AC255" s="866"/>
      <c r="AD255" s="866"/>
      <c r="AE255" s="868"/>
      <c r="AF255" s="868"/>
      <c r="AG255" s="866"/>
      <c r="AH255" s="866"/>
      <c r="AI255" s="868"/>
      <c r="AJ255" s="868"/>
      <c r="AK255" s="866"/>
      <c r="AL255" s="866"/>
      <c r="AM255" s="866"/>
      <c r="AN255" s="866"/>
      <c r="AO255" s="866"/>
      <c r="AP255" s="866"/>
      <c r="AQ255" s="866"/>
      <c r="AR255" s="866"/>
      <c r="AS255" s="866"/>
      <c r="AT255" s="866"/>
      <c r="AU255" s="866"/>
      <c r="AV255" s="866"/>
      <c r="AW255" s="866"/>
      <c r="AX255" s="866"/>
      <c r="AY255" s="866"/>
      <c r="AZ255" s="866"/>
      <c r="BA255" s="866"/>
      <c r="BB255" s="866"/>
      <c r="BC255" s="866"/>
      <c r="BD255" s="866"/>
      <c r="BE255" s="866"/>
    </row>
    <row r="256" spans="1:57" ht="15" hidden="1" thickTop="1" thickBot="1" x14ac:dyDescent="0.3">
      <c r="A256" s="665"/>
      <c r="B256" s="665"/>
      <c r="C256" s="665"/>
      <c r="D256" s="665"/>
      <c r="E256" s="665"/>
      <c r="F256" s="666"/>
      <c r="G256" s="666"/>
      <c r="H256" s="666"/>
      <c r="I256" s="666"/>
      <c r="J256" s="666"/>
      <c r="K256" s="667"/>
      <c r="L256" s="666"/>
      <c r="M256" s="670">
        <v>0.69499999999999995</v>
      </c>
      <c r="N256" s="666"/>
    </row>
    <row r="257" spans="1:57" ht="20.25" customHeight="1" thickTop="1" thickBot="1" x14ac:dyDescent="0.3">
      <c r="A257" s="1236" t="s">
        <v>123</v>
      </c>
      <c r="B257" s="1236"/>
      <c r="C257" s="1236"/>
      <c r="D257" s="1236"/>
      <c r="E257" s="1236"/>
      <c r="F257" s="322"/>
      <c r="G257" s="322"/>
      <c r="H257" s="322"/>
      <c r="I257" s="322"/>
      <c r="J257" s="322"/>
      <c r="K257" s="323"/>
      <c r="L257" s="322"/>
      <c r="M257" s="320"/>
      <c r="N257" s="449"/>
    </row>
    <row r="258" spans="1:57" ht="16.5" customHeight="1" thickTop="1" thickBot="1" x14ac:dyDescent="0.3">
      <c r="A258" s="443"/>
      <c r="B258" s="443"/>
      <c r="C258" s="443"/>
      <c r="D258" s="443"/>
      <c r="E258" s="443"/>
      <c r="F258" s="443"/>
      <c r="G258" s="443"/>
      <c r="H258" s="443"/>
      <c r="I258" s="443"/>
      <c r="J258" s="443"/>
      <c r="K258" s="445"/>
      <c r="L258" s="443"/>
      <c r="M258" s="443"/>
      <c r="N258" s="328"/>
    </row>
    <row r="259" spans="1:57" ht="16.5" customHeight="1" thickTop="1" thickBot="1" x14ac:dyDescent="0.3">
      <c r="A259" s="1093" t="s">
        <v>538</v>
      </c>
      <c r="B259" s="1093"/>
      <c r="C259" s="438"/>
      <c r="D259" s="438"/>
      <c r="E259" s="438"/>
      <c r="F259" s="438"/>
      <c r="G259" s="438"/>
      <c r="H259" s="438"/>
      <c r="I259" s="438"/>
      <c r="J259" s="439"/>
      <c r="K259" s="439"/>
      <c r="L259" s="321" t="s">
        <v>60</v>
      </c>
      <c r="M259" s="438"/>
      <c r="N259" s="1048" t="s">
        <v>149</v>
      </c>
      <c r="O259" s="740"/>
      <c r="P259" s="740"/>
    </row>
    <row r="260" spans="1:57" ht="16.5" customHeight="1" thickTop="1" x14ac:dyDescent="0.25">
      <c r="A260" s="1093" t="s">
        <v>588</v>
      </c>
      <c r="B260" s="1093"/>
      <c r="C260" s="438"/>
      <c r="D260" s="438"/>
      <c r="E260" s="438"/>
      <c r="F260" s="438"/>
      <c r="G260" s="438"/>
      <c r="H260" s="438"/>
      <c r="I260" s="438"/>
      <c r="J260" s="438"/>
      <c r="K260" s="439"/>
      <c r="L260" s="438"/>
      <c r="M260" s="438"/>
      <c r="N260" s="1049" t="s">
        <v>150</v>
      </c>
      <c r="O260" s="740"/>
      <c r="P260" s="740"/>
    </row>
    <row r="261" spans="1:57" ht="16.5" customHeight="1" x14ac:dyDescent="0.25">
      <c r="A261" s="1093" t="s">
        <v>599</v>
      </c>
      <c r="B261" s="1093"/>
      <c r="C261" s="438"/>
      <c r="D261" s="438"/>
      <c r="E261" s="438"/>
      <c r="F261" s="438"/>
      <c r="G261" s="438"/>
      <c r="H261" s="438"/>
      <c r="I261" s="438"/>
      <c r="J261" s="438"/>
      <c r="K261" s="439"/>
      <c r="L261" s="438"/>
      <c r="M261" s="438"/>
      <c r="N261" s="320"/>
    </row>
    <row r="262" spans="1:57" ht="16.5" customHeight="1" x14ac:dyDescent="0.25">
      <c r="A262" s="1093" t="s">
        <v>596</v>
      </c>
      <c r="B262" s="1093"/>
      <c r="C262" s="438"/>
      <c r="D262" s="438"/>
      <c r="E262" s="438"/>
      <c r="F262" s="438"/>
      <c r="G262" s="438"/>
      <c r="H262" s="438"/>
      <c r="I262" s="438"/>
      <c r="J262" s="438"/>
      <c r="K262" s="439"/>
      <c r="L262" s="438"/>
      <c r="M262" s="438"/>
      <c r="N262" s="320"/>
    </row>
    <row r="263" spans="1:57" ht="16.5" customHeight="1" x14ac:dyDescent="0.25">
      <c r="A263" s="1093" t="s">
        <v>602</v>
      </c>
      <c r="B263" s="1093"/>
      <c r="C263" s="438"/>
      <c r="D263" s="438"/>
      <c r="E263" s="438"/>
      <c r="F263" s="438"/>
      <c r="G263" s="438"/>
      <c r="H263" s="438"/>
      <c r="I263" s="438"/>
      <c r="J263" s="438"/>
      <c r="K263" s="439"/>
      <c r="L263" s="438"/>
      <c r="M263" s="438"/>
      <c r="N263" s="320"/>
    </row>
    <row r="264" spans="1:57" s="867" customFormat="1" ht="16.5" customHeight="1" x14ac:dyDescent="0.25">
      <c r="A264" s="436"/>
      <c r="B264" s="436"/>
      <c r="C264" s="436"/>
      <c r="D264" s="436"/>
      <c r="E264" s="436"/>
      <c r="F264" s="436"/>
      <c r="G264" s="436"/>
      <c r="H264" s="436"/>
      <c r="I264" s="436"/>
      <c r="J264" s="436"/>
      <c r="K264" s="437"/>
      <c r="L264" s="436"/>
      <c r="M264" s="436"/>
      <c r="N264" s="325"/>
      <c r="O264" s="326"/>
      <c r="P264" s="326"/>
      <c r="Q264" s="866"/>
      <c r="R264" s="642"/>
      <c r="S264" s="642"/>
      <c r="T264" s="866"/>
      <c r="U264" s="866"/>
      <c r="V264" s="866"/>
      <c r="W264" s="866"/>
      <c r="X264" s="866"/>
      <c r="Y264" s="866"/>
      <c r="Z264" s="866"/>
      <c r="AA264" s="866"/>
      <c r="AB264" s="866"/>
      <c r="AC264" s="866"/>
      <c r="AD264" s="866"/>
      <c r="AE264" s="868"/>
      <c r="AF264" s="868"/>
      <c r="AG264" s="866"/>
      <c r="AH264" s="866"/>
      <c r="AI264" s="868"/>
      <c r="AJ264" s="868"/>
      <c r="AK264" s="866"/>
      <c r="AL264" s="866"/>
      <c r="AM264" s="866"/>
      <c r="AN264" s="866"/>
      <c r="AO264" s="866"/>
      <c r="AP264" s="866"/>
      <c r="AQ264" s="866"/>
      <c r="AR264" s="866"/>
      <c r="AS264" s="866"/>
      <c r="AT264" s="866"/>
      <c r="AU264" s="866"/>
      <c r="AV264" s="866"/>
      <c r="AW264" s="866"/>
      <c r="AX264" s="866"/>
      <c r="AY264" s="866"/>
      <c r="AZ264" s="866"/>
      <c r="BA264" s="866"/>
      <c r="BB264" s="866"/>
      <c r="BC264" s="866"/>
      <c r="BD264" s="866"/>
      <c r="BE264" s="866"/>
    </row>
    <row r="265" spans="1:57" x14ac:dyDescent="0.25">
      <c r="A265" s="469"/>
      <c r="B265" s="860"/>
      <c r="C265" s="469"/>
      <c r="D265" s="860"/>
      <c r="E265" s="860"/>
      <c r="F265" s="470"/>
      <c r="G265" s="470"/>
      <c r="H265" s="861"/>
      <c r="I265" s="861"/>
      <c r="J265" s="470"/>
      <c r="K265" s="470"/>
      <c r="L265" s="470"/>
      <c r="M265" s="470"/>
      <c r="N265" s="470"/>
      <c r="O265" s="246"/>
      <c r="P265" s="246"/>
      <c r="Q265" s="246"/>
      <c r="R265" s="305"/>
    </row>
    <row r="266" spans="1:57" ht="14.4" x14ac:dyDescent="0.25">
      <c r="A266" s="897" t="s">
        <v>519</v>
      </c>
      <c r="B266" s="897"/>
      <c r="C266" s="471"/>
      <c r="D266" s="883"/>
      <c r="E266" s="883"/>
      <c r="F266" s="472"/>
      <c r="G266" s="472"/>
      <c r="H266" s="884"/>
      <c r="I266" s="884"/>
      <c r="J266" s="472"/>
      <c r="K266" s="472"/>
      <c r="L266" s="472"/>
      <c r="M266" s="472"/>
      <c r="N266" s="472"/>
      <c r="O266" s="246"/>
      <c r="P266" s="246"/>
      <c r="Q266" s="246"/>
      <c r="R266" s="305"/>
    </row>
    <row r="267" spans="1:57" ht="14.4" thickBot="1" x14ac:dyDescent="0.3">
      <c r="A267" s="473"/>
      <c r="B267" s="857"/>
      <c r="C267" s="474"/>
      <c r="D267" s="858"/>
      <c r="E267" s="858"/>
      <c r="F267" s="475"/>
      <c r="G267" s="475"/>
      <c r="H267" s="859"/>
      <c r="I267" s="859"/>
      <c r="J267" s="475"/>
      <c r="K267" s="475"/>
      <c r="L267" s="475"/>
      <c r="M267" s="475"/>
      <c r="N267" s="475"/>
      <c r="O267" s="246"/>
      <c r="P267" s="246"/>
      <c r="Q267" s="246"/>
      <c r="R267" s="305"/>
    </row>
    <row r="268" spans="1:57" x14ac:dyDescent="0.25">
      <c r="A268" s="453"/>
      <c r="B268" s="453"/>
      <c r="C268" s="328"/>
      <c r="D268" s="328"/>
      <c r="E268" s="328"/>
      <c r="F268" s="328"/>
      <c r="G268" s="328"/>
      <c r="H268" s="328"/>
      <c r="I268" s="328"/>
      <c r="J268" s="328"/>
      <c r="K268" s="328"/>
      <c r="L268" s="328"/>
      <c r="M268" s="328"/>
      <c r="N268" s="328"/>
      <c r="Q268" s="326"/>
      <c r="R268" s="640"/>
    </row>
    <row r="269" spans="1:57" hidden="1" x14ac:dyDescent="0.25">
      <c r="A269" s="477"/>
      <c r="B269" s="477"/>
      <c r="Q269" s="326"/>
      <c r="R269" s="640"/>
    </row>
    <row r="270" spans="1:57" hidden="1" x14ac:dyDescent="0.25">
      <c r="A270" s="539"/>
      <c r="B270" s="539"/>
      <c r="C270" s="539"/>
      <c r="D270" s="539"/>
      <c r="E270" s="539"/>
      <c r="F270" s="561"/>
      <c r="G270" s="561"/>
      <c r="H270" s="561"/>
      <c r="I270" s="561"/>
      <c r="J270" s="561"/>
      <c r="K270" s="561"/>
      <c r="L270" s="561"/>
      <c r="M270" s="561"/>
      <c r="N270" s="561"/>
      <c r="Q270" s="326"/>
      <c r="R270" s="640"/>
    </row>
    <row r="271" spans="1:57" hidden="1" x14ac:dyDescent="0.25">
      <c r="A271" s="686"/>
      <c r="B271" s="1373"/>
      <c r="C271" s="687"/>
      <c r="D271" s="676"/>
      <c r="E271" s="676"/>
      <c r="F271" s="561"/>
      <c r="G271" s="688" t="s">
        <v>64</v>
      </c>
      <c r="H271" s="688"/>
      <c r="I271" s="688"/>
      <c r="J271" s="561"/>
      <c r="K271" s="561"/>
      <c r="L271" s="671"/>
      <c r="M271" s="561"/>
      <c r="N271" s="671"/>
      <c r="O271" s="749"/>
      <c r="P271" s="749"/>
      <c r="Q271" s="326"/>
      <c r="R271" s="640"/>
    </row>
    <row r="272" spans="1:57" hidden="1" x14ac:dyDescent="0.25">
      <c r="A272" s="689"/>
      <c r="B272" s="676"/>
      <c r="C272" s="690"/>
      <c r="D272" s="676"/>
      <c r="E272" s="676"/>
      <c r="F272" s="561"/>
      <c r="G272" s="691">
        <v>0</v>
      </c>
      <c r="H272" s="691"/>
      <c r="I272" s="691"/>
      <c r="J272" s="561"/>
      <c r="K272" s="561"/>
      <c r="L272" s="561"/>
      <c r="M272" s="561"/>
      <c r="N272" s="561"/>
      <c r="Q272" s="326"/>
      <c r="R272" s="640"/>
    </row>
    <row r="273" spans="1:36" hidden="1" x14ac:dyDescent="0.25">
      <c r="A273" s="692"/>
      <c r="B273" s="1369"/>
      <c r="C273" s="693"/>
      <c r="D273" s="676"/>
      <c r="E273" s="676"/>
      <c r="F273" s="561"/>
      <c r="G273" s="694">
        <v>25000</v>
      </c>
      <c r="H273" s="694"/>
      <c r="I273" s="694"/>
      <c r="J273" s="561"/>
      <c r="K273" s="561"/>
      <c r="L273" s="561"/>
      <c r="M273" s="561"/>
      <c r="N273" s="561"/>
      <c r="Q273" s="326"/>
      <c r="R273" s="640"/>
    </row>
    <row r="274" spans="1:36" hidden="1" x14ac:dyDescent="0.25">
      <c r="A274" s="561"/>
      <c r="B274" s="561"/>
      <c r="C274" s="561"/>
      <c r="D274" s="561"/>
      <c r="E274" s="561"/>
      <c r="F274" s="561"/>
      <c r="G274" s="694">
        <v>50000</v>
      </c>
      <c r="H274" s="694"/>
      <c r="I274" s="694"/>
      <c r="J274" s="539"/>
      <c r="K274" s="561"/>
      <c r="L274" s="561"/>
      <c r="M274" s="561"/>
      <c r="N274" s="561"/>
      <c r="Q274" s="326"/>
      <c r="R274" s="640"/>
    </row>
    <row r="275" spans="1:36" hidden="1" x14ac:dyDescent="0.25">
      <c r="A275" s="674" t="s">
        <v>63</v>
      </c>
      <c r="B275" s="674"/>
      <c r="C275" s="561"/>
      <c r="D275" s="561"/>
      <c r="E275" s="561"/>
      <c r="F275" s="561"/>
      <c r="G275" s="694">
        <v>75000</v>
      </c>
      <c r="H275" s="694"/>
      <c r="I275" s="694"/>
      <c r="J275" s="539"/>
      <c r="K275" s="561"/>
      <c r="L275" s="561"/>
      <c r="M275" s="561"/>
      <c r="N275" s="561"/>
      <c r="Q275" s="326"/>
      <c r="R275" s="640"/>
    </row>
    <row r="276" spans="1:36" hidden="1" x14ac:dyDescent="0.25">
      <c r="A276" s="676" t="s">
        <v>59</v>
      </c>
      <c r="B276" s="676"/>
      <c r="C276" s="561"/>
      <c r="D276" s="561"/>
      <c r="E276" s="561"/>
      <c r="F276" s="561"/>
      <c r="G276" s="694">
        <v>100000</v>
      </c>
      <c r="H276" s="694"/>
      <c r="I276" s="694"/>
      <c r="J276" s="539"/>
      <c r="K276" s="561"/>
      <c r="L276" s="561"/>
      <c r="M276" s="561"/>
      <c r="N276" s="561"/>
      <c r="Q276" s="326"/>
      <c r="R276" s="640"/>
    </row>
    <row r="277" spans="1:36" hidden="1" x14ac:dyDescent="0.25">
      <c r="A277" s="676" t="s">
        <v>60</v>
      </c>
      <c r="B277" s="676"/>
      <c r="C277" s="561"/>
      <c r="D277" s="561"/>
      <c r="E277" s="561"/>
      <c r="F277" s="561"/>
      <c r="G277" s="694">
        <v>125000</v>
      </c>
      <c r="H277" s="694"/>
      <c r="I277" s="694"/>
      <c r="J277" s="539"/>
      <c r="K277" s="561"/>
      <c r="L277" s="561"/>
      <c r="M277" s="561"/>
      <c r="N277" s="561"/>
      <c r="Q277" s="326"/>
      <c r="R277" s="640"/>
    </row>
    <row r="278" spans="1:36" hidden="1" x14ac:dyDescent="0.25">
      <c r="A278" s="561"/>
      <c r="B278" s="561"/>
      <c r="C278" s="561"/>
      <c r="D278" s="561"/>
      <c r="E278" s="561"/>
      <c r="F278" s="561"/>
      <c r="G278" s="694">
        <v>150000</v>
      </c>
      <c r="H278" s="694"/>
      <c r="I278" s="694"/>
      <c r="J278" s="539"/>
      <c r="K278" s="561"/>
      <c r="L278" s="561"/>
      <c r="M278" s="561"/>
      <c r="N278" s="561"/>
      <c r="Q278" s="326"/>
      <c r="R278" s="640"/>
    </row>
    <row r="279" spans="1:36" hidden="1" x14ac:dyDescent="0.25">
      <c r="A279" s="561"/>
      <c r="B279" s="561"/>
      <c r="C279" s="561"/>
      <c r="D279" s="561"/>
      <c r="E279" s="561"/>
      <c r="F279" s="561"/>
      <c r="G279" s="694">
        <v>175000</v>
      </c>
      <c r="H279" s="694"/>
      <c r="I279" s="694"/>
      <c r="J279" s="539"/>
      <c r="K279" s="561"/>
      <c r="L279" s="561"/>
      <c r="M279" s="561"/>
      <c r="N279" s="561"/>
      <c r="Q279" s="326"/>
      <c r="R279" s="640"/>
    </row>
    <row r="280" spans="1:36" hidden="1" x14ac:dyDescent="0.25">
      <c r="A280" s="561"/>
      <c r="B280" s="561"/>
      <c r="C280" s="561"/>
      <c r="D280" s="561"/>
      <c r="E280" s="561"/>
      <c r="F280" s="561"/>
      <c r="G280" s="694">
        <v>200000</v>
      </c>
      <c r="H280" s="694"/>
      <c r="I280" s="694"/>
      <c r="J280" s="539"/>
      <c r="K280" s="561"/>
      <c r="L280" s="561"/>
      <c r="M280" s="561"/>
      <c r="N280" s="561"/>
      <c r="Q280" s="326"/>
      <c r="R280" s="640"/>
    </row>
    <row r="281" spans="1:36" hidden="1" x14ac:dyDescent="0.25">
      <c r="A281" s="561"/>
      <c r="B281" s="561"/>
      <c r="C281" s="561"/>
      <c r="D281" s="561"/>
      <c r="E281" s="561"/>
      <c r="F281" s="561"/>
      <c r="G281" s="694">
        <v>225000</v>
      </c>
      <c r="H281" s="694"/>
      <c r="I281" s="694"/>
      <c r="J281" s="539"/>
      <c r="K281" s="561"/>
      <c r="L281" s="561"/>
      <c r="M281" s="561"/>
      <c r="N281" s="561"/>
      <c r="Q281" s="326"/>
      <c r="R281" s="640"/>
    </row>
    <row r="282" spans="1:36" hidden="1" x14ac:dyDescent="0.25">
      <c r="A282" s="561"/>
      <c r="B282" s="561"/>
      <c r="C282" s="561"/>
      <c r="D282" s="561"/>
      <c r="E282" s="561"/>
      <c r="F282" s="561"/>
      <c r="G282" s="694">
        <v>250000</v>
      </c>
      <c r="H282" s="694"/>
      <c r="I282" s="694"/>
      <c r="J282" s="539"/>
      <c r="K282" s="561"/>
      <c r="L282" s="561"/>
      <c r="M282" s="561"/>
      <c r="N282" s="561"/>
      <c r="Q282" s="326"/>
      <c r="R282" s="640"/>
    </row>
    <row r="283" spans="1:36" hidden="1" x14ac:dyDescent="0.25">
      <c r="A283" s="561"/>
      <c r="B283" s="561"/>
      <c r="C283" s="561"/>
      <c r="D283" s="561"/>
      <c r="E283" s="561"/>
      <c r="F283" s="561"/>
      <c r="G283" s="539"/>
      <c r="H283" s="539"/>
      <c r="I283" s="539"/>
      <c r="J283" s="539"/>
      <c r="K283" s="561"/>
      <c r="L283" s="561"/>
      <c r="M283" s="561"/>
      <c r="N283" s="561"/>
      <c r="Q283" s="326"/>
      <c r="R283" s="640"/>
    </row>
    <row r="284" spans="1:36" ht="15" hidden="1" thickTop="1" thickBot="1" x14ac:dyDescent="0.3">
      <c r="A284" s="1490" t="str">
        <f>SetUp!A4:B4</f>
        <v>1.  Is the source of the funding federal?</v>
      </c>
      <c r="B284" s="1490"/>
      <c r="C284" s="1490"/>
      <c r="D284" s="1282"/>
      <c r="E284" s="1363"/>
      <c r="F284" s="695" t="str">
        <f>SetUp!C4</f>
        <v>Yes</v>
      </c>
      <c r="G284" s="561"/>
      <c r="H284" s="561"/>
      <c r="I284" s="561"/>
      <c r="J284" s="561"/>
      <c r="K284" s="561"/>
      <c r="L284" s="561"/>
      <c r="M284" s="561"/>
      <c r="N284" s="561"/>
      <c r="AE284" s="230"/>
      <c r="AF284" s="230"/>
      <c r="AI284" s="230"/>
      <c r="AJ284" s="230"/>
    </row>
    <row r="285" spans="1:36" hidden="1" x14ac:dyDescent="0.25">
      <c r="A285" s="539"/>
      <c r="B285" s="539"/>
      <c r="C285" s="539"/>
      <c r="D285" s="539"/>
      <c r="E285" s="539"/>
      <c r="F285" s="561"/>
      <c r="G285" s="561"/>
      <c r="H285" s="561"/>
      <c r="I285" s="561"/>
      <c r="J285" s="561"/>
      <c r="K285" s="561"/>
      <c r="L285" s="561"/>
      <c r="M285" s="561"/>
      <c r="N285" s="561"/>
      <c r="AE285" s="230"/>
      <c r="AF285" s="230"/>
      <c r="AI285" s="230"/>
      <c r="AJ285" s="230"/>
    </row>
    <row r="286" spans="1:36" ht="15" hidden="1" thickTop="1" thickBot="1" x14ac:dyDescent="0.3">
      <c r="A286" s="539" t="str">
        <f>'Y1'!A104</f>
        <v>1.  Is this a NIH modular budget?</v>
      </c>
      <c r="B286" s="539"/>
      <c r="C286" s="539"/>
      <c r="D286" s="539"/>
      <c r="E286" s="539"/>
      <c r="F286" s="696" t="str">
        <f>'Y1'!L104</f>
        <v>No</v>
      </c>
      <c r="G286" s="561"/>
      <c r="H286" s="561"/>
      <c r="I286" s="561"/>
      <c r="J286" s="561"/>
      <c r="K286" s="561"/>
      <c r="L286" s="561"/>
      <c r="M286" s="561"/>
      <c r="N286" s="561"/>
      <c r="AE286" s="230"/>
      <c r="AF286" s="230"/>
      <c r="AI286" s="230"/>
      <c r="AJ286" s="230"/>
    </row>
    <row r="287" spans="1:36" hidden="1" x14ac:dyDescent="0.25">
      <c r="A287" s="539" t="str">
        <f>'Y1'!A105</f>
        <v xml:space="preserve">       If Yes, please choose a module from the drop down menu in the "NIH Modular Amount" box. Also choosing Yes will allow the form to calculate F&amp;A on the modular amount.</v>
      </c>
      <c r="B287" s="539"/>
      <c r="C287" s="539"/>
      <c r="D287" s="539"/>
      <c r="E287" s="539"/>
      <c r="F287" s="539"/>
      <c r="G287" s="539"/>
      <c r="H287" s="539"/>
      <c r="I287" s="539"/>
      <c r="J287" s="539"/>
      <c r="K287" s="539"/>
      <c r="L287" s="539"/>
      <c r="M287" s="539"/>
      <c r="N287" s="539"/>
    </row>
    <row r="288" spans="1:36" ht="15" x14ac:dyDescent="0.25">
      <c r="A288" s="479"/>
      <c r="B288" s="479"/>
      <c r="C288" s="479"/>
      <c r="D288" s="479"/>
      <c r="E288" s="479"/>
      <c r="F288" s="480"/>
      <c r="G288" s="480"/>
      <c r="H288" s="480"/>
      <c r="I288" s="480"/>
      <c r="J288" s="480"/>
      <c r="K288" s="480"/>
    </row>
    <row r="289" spans="1:11" x14ac:dyDescent="0.25">
      <c r="A289" s="403"/>
      <c r="B289" s="403"/>
      <c r="C289" s="481"/>
      <c r="D289" s="481"/>
      <c r="E289" s="481"/>
      <c r="F289" s="480"/>
      <c r="G289" s="480"/>
      <c r="H289" s="480"/>
      <c r="I289" s="480"/>
      <c r="J289" s="480"/>
      <c r="K289" s="480"/>
    </row>
    <row r="290" spans="1:11" x14ac:dyDescent="0.25">
      <c r="A290" s="403"/>
      <c r="B290" s="403"/>
      <c r="C290" s="481"/>
      <c r="D290" s="481"/>
      <c r="E290" s="481"/>
      <c r="F290" s="480"/>
      <c r="G290" s="480"/>
      <c r="H290" s="480"/>
      <c r="I290" s="480"/>
      <c r="J290" s="480"/>
      <c r="K290" s="480"/>
    </row>
    <row r="291" spans="1:11" x14ac:dyDescent="0.25">
      <c r="A291" s="403"/>
      <c r="B291" s="403"/>
      <c r="C291" s="481"/>
      <c r="D291" s="481"/>
      <c r="E291" s="481"/>
      <c r="F291" s="480"/>
      <c r="G291" s="480"/>
      <c r="H291" s="480"/>
      <c r="I291" s="480"/>
      <c r="J291" s="480"/>
      <c r="K291" s="480"/>
    </row>
    <row r="292" spans="1:11" x14ac:dyDescent="0.25">
      <c r="A292" s="481"/>
      <c r="B292" s="481"/>
      <c r="C292" s="481"/>
      <c r="D292" s="481"/>
      <c r="E292" s="481"/>
      <c r="F292" s="480"/>
      <c r="G292" s="480"/>
      <c r="H292" s="480"/>
      <c r="I292" s="480"/>
      <c r="J292" s="480"/>
      <c r="K292" s="480"/>
    </row>
    <row r="293" spans="1:11" x14ac:dyDescent="0.25">
      <c r="A293" s="403"/>
      <c r="B293" s="403"/>
      <c r="C293" s="481"/>
      <c r="D293" s="481"/>
      <c r="E293" s="481"/>
      <c r="F293" s="480"/>
      <c r="G293" s="480"/>
      <c r="H293" s="480"/>
      <c r="I293" s="480"/>
      <c r="J293" s="480"/>
      <c r="K293" s="480"/>
    </row>
    <row r="294" spans="1:11" x14ac:dyDescent="0.25">
      <c r="A294" s="403"/>
      <c r="B294" s="403"/>
      <c r="C294" s="481"/>
      <c r="D294" s="481"/>
      <c r="E294" s="481"/>
      <c r="F294" s="480"/>
      <c r="G294" s="480"/>
      <c r="H294" s="480"/>
      <c r="I294" s="480"/>
      <c r="J294" s="480"/>
      <c r="K294" s="480"/>
    </row>
    <row r="295" spans="1:11" x14ac:dyDescent="0.25">
      <c r="A295" s="403"/>
      <c r="B295" s="403"/>
      <c r="C295" s="481"/>
      <c r="D295" s="481"/>
      <c r="E295" s="481"/>
      <c r="F295" s="480"/>
      <c r="G295" s="480"/>
      <c r="H295" s="480"/>
      <c r="I295" s="480"/>
      <c r="J295" s="480"/>
      <c r="K295" s="480"/>
    </row>
    <row r="296" spans="1:11" x14ac:dyDescent="0.25">
      <c r="A296" s="403"/>
      <c r="B296" s="403"/>
      <c r="C296" s="481"/>
      <c r="D296" s="481"/>
      <c r="E296" s="481"/>
      <c r="F296" s="480"/>
      <c r="G296" s="480"/>
      <c r="H296" s="480"/>
      <c r="I296" s="480"/>
      <c r="J296" s="480"/>
      <c r="K296" s="483"/>
    </row>
    <row r="297" spans="1:11" x14ac:dyDescent="0.25">
      <c r="A297" s="481"/>
      <c r="B297" s="481"/>
      <c r="C297" s="481"/>
      <c r="D297" s="481"/>
      <c r="E297" s="481"/>
      <c r="F297" s="480"/>
      <c r="G297" s="480"/>
      <c r="H297" s="480"/>
      <c r="I297" s="480"/>
      <c r="J297" s="480"/>
      <c r="K297" s="480"/>
    </row>
    <row r="298" spans="1:11" x14ac:dyDescent="0.25">
      <c r="A298" s="403"/>
      <c r="B298" s="403"/>
      <c r="C298" s="481"/>
      <c r="D298" s="481"/>
      <c r="E298" s="481"/>
      <c r="F298" s="480"/>
      <c r="G298" s="480"/>
      <c r="H298" s="480"/>
      <c r="I298" s="480"/>
      <c r="J298" s="480"/>
      <c r="K298" s="484"/>
    </row>
    <row r="299" spans="1:11" x14ac:dyDescent="0.25">
      <c r="A299" s="485"/>
      <c r="B299" s="485"/>
      <c r="C299" s="485"/>
      <c r="D299" s="485"/>
      <c r="E299" s="485"/>
      <c r="F299" s="480"/>
      <c r="G299" s="480"/>
      <c r="H299" s="480"/>
      <c r="I299" s="480"/>
      <c r="J299" s="480"/>
      <c r="K299" s="480"/>
    </row>
    <row r="300" spans="1:11" x14ac:dyDescent="0.25">
      <c r="A300" s="403"/>
      <c r="B300" s="403"/>
      <c r="C300" s="481"/>
      <c r="D300" s="481"/>
      <c r="E300" s="481"/>
      <c r="F300" s="480"/>
      <c r="G300" s="480"/>
      <c r="H300" s="480"/>
      <c r="I300" s="480"/>
      <c r="J300" s="480"/>
      <c r="K300" s="480"/>
    </row>
    <row r="301" spans="1:11" x14ac:dyDescent="0.25">
      <c r="A301" s="481"/>
      <c r="B301" s="481"/>
      <c r="C301" s="481"/>
      <c r="D301" s="481"/>
      <c r="E301" s="481"/>
      <c r="F301" s="480"/>
      <c r="G301" s="480"/>
      <c r="H301" s="480"/>
      <c r="I301" s="480"/>
      <c r="J301" s="480"/>
      <c r="K301" s="484"/>
    </row>
    <row r="302" spans="1:11" x14ac:dyDescent="0.25">
      <c r="A302" s="486"/>
      <c r="B302" s="486"/>
      <c r="C302" s="486"/>
      <c r="D302" s="486"/>
      <c r="E302" s="486"/>
      <c r="F302" s="480"/>
      <c r="G302" s="480"/>
      <c r="H302" s="480"/>
      <c r="I302" s="480"/>
      <c r="J302" s="480"/>
      <c r="K302" s="484"/>
    </row>
  </sheetData>
  <sheetProtection algorithmName="SHA-512" hashValue="IIP4f4cv68uQ8jxR2upsetH6B3iPKOMAY8RM1WcMo4CFcYVWUBlWqGwUclHR4L8uNgg+vQNlEbgaTIGxkCY6PA==" saltValue="mLjiWJWUghNUeI9nvNI0PA==" spinCount="100000" sheet="1" formatCells="0" formatColumns="0"/>
  <mergeCells count="28">
    <mergeCell ref="Q11:S11"/>
    <mergeCell ref="U11:AB11"/>
    <mergeCell ref="R12:R16"/>
    <mergeCell ref="Z12:Z16"/>
    <mergeCell ref="AA12:AA16"/>
    <mergeCell ref="L12:N12"/>
    <mergeCell ref="U13:U16"/>
    <mergeCell ref="V13:V16"/>
    <mergeCell ref="W13:W16"/>
    <mergeCell ref="AD12:AJ12"/>
    <mergeCell ref="X12:X16"/>
    <mergeCell ref="Y12:Y16"/>
    <mergeCell ref="AO33:AP33"/>
    <mergeCell ref="Q13:Q16"/>
    <mergeCell ref="AR33:AT33"/>
    <mergeCell ref="AH16:AJ16"/>
    <mergeCell ref="AL16:AM16"/>
    <mergeCell ref="AO16:AP16"/>
    <mergeCell ref="AR16:AT16"/>
    <mergeCell ref="AL33:AM33"/>
    <mergeCell ref="A284:C284"/>
    <mergeCell ref="AD61:AE61"/>
    <mergeCell ref="AH61:AJ61"/>
    <mergeCell ref="AD33:AF33"/>
    <mergeCell ref="AH33:AJ33"/>
    <mergeCell ref="A42:M42"/>
    <mergeCell ref="AD52:AE52"/>
    <mergeCell ref="AH52:AJ52"/>
  </mergeCells>
  <dataValidations count="20">
    <dataValidation type="whole" allowBlank="1" showInputMessage="1" showErrorMessage="1" sqref="K181">
      <formula1>0</formula1>
      <formula2>24999</formula2>
    </dataValidation>
    <dataValidation type="whole" operator="lessThanOrEqual" allowBlank="1" showInputMessage="1" showErrorMessage="1" sqref="I180">
      <formula1>25000</formula1>
    </dataValidation>
    <dataValidation type="whole" allowBlank="1" showInputMessage="1" showErrorMessage="1" sqref="I181">
      <formula1>0</formula1>
      <formula2>25000</formula2>
    </dataValidation>
    <dataValidation type="list" allowBlank="1" showInputMessage="1" showErrorMessage="1" sqref="N81:P81">
      <formula1>$G$272:$G$282</formula1>
    </dataValidation>
    <dataValidation type="list" allowBlank="1" showInputMessage="1" showErrorMessage="1" promptTitle="K award?" prompt="Answer &quot;No&quot; if this is a K award.  _x000a__x000a_Answer &quot;Yes&quot; if there is a K awardee on your budget where the funding source is federal.  Example: NIH R01 grant with a K awardee as a co-investigator." sqref="R17">
      <formula1>$A$276:$A$277</formula1>
    </dataValidation>
    <dataValidation allowBlank="1" showInputMessage="1" showErrorMessage="1" prompt="This would be costs such as tuition for the PI on an NIH K award." sqref="A73:B73"/>
    <dataValidation allowBlank="1" showInputMessage="1" showErrorMessage="1" promptTitle="Confused?" prompt="Do not confuse the FRINGE BENEFIT RATE with the F&amp;A Rate.  This question is about fringe benefits." sqref="M230"/>
    <dataValidation type="list" allowBlank="1" showInputMessage="1" showErrorMessage="1" promptTitle="Not Sure?" prompt="Assume Yes unless otherwise specified in the agency's instructions." sqref="L229">
      <formula1>$A$276:$A$277</formula1>
    </dataValidation>
    <dataValidation type="list" allowBlank="1" showInputMessage="1" showErrorMessage="1" sqref="H166 L259 L192 R18:R24 H124 L232 L105 L195 L239 L186 U17:U24 L201 M202 O202:P202">
      <formula1>$A$276:$A$277</formula1>
    </dataValidation>
    <dataValidation type="list" allowBlank="1" showInputMessage="1" showErrorMessage="1" sqref="H136">
      <formula1>$M$138:$M$163</formula1>
    </dataValidation>
    <dataValidation type="list" allowBlank="1" showInputMessage="1" showErrorMessage="1" sqref="K108:K111 K264">
      <formula1>Subwardsq</formula1>
    </dataValidation>
    <dataValidation type="list" allowBlank="1" showInputMessage="1" showErrorMessage="1" promptTitle="Still not sure?" prompt="PIs generally add new subawards in the Y1 budget tab and continue them in the future years. _x000a__x000a_If you're adding it for the 1st time in this budget year and its value is less than $25,000, answer Yes." sqref="H173">
      <formula1>$A$207:$A$208</formula1>
    </dataValidation>
    <dataValidation type="list" allowBlank="1" showInputMessage="1" showErrorMessage="1" prompt="If you've already included the subaward on your Y1 budget and its Y1 value is equal to or greater than 25K, answer No." sqref="H131">
      <formula1>$A$276:$A$277</formula1>
    </dataValidation>
    <dataValidation type="list" allowBlank="1" showInputMessage="1" showErrorMessage="1" sqref="L89">
      <formula1>$M$210:$M$213</formula1>
    </dataValidation>
    <dataValidation type="list" allowBlank="1" showInputMessage="1" showErrorMessage="1" sqref="L85">
      <formula1>$M$205:$M$208</formula1>
    </dataValidation>
    <dataValidation type="list" allowBlank="1" showInputMessage="1" showErrorMessage="1" sqref="H96">
      <formula1>$M$241:$M$257</formula1>
    </dataValidation>
    <dataValidation type="list" allowBlank="1" showInputMessage="1" showErrorMessage="1" sqref="L122">
      <formula1>$L$109:$L$121</formula1>
    </dataValidation>
    <dataValidation type="list" allowBlank="1" showInputMessage="1" showErrorMessage="1" sqref="J107">
      <formula1>L109:L121</formula1>
    </dataValidation>
    <dataValidation allowBlank="1" showInputMessage="1" showErrorMessage="1" promptTitle="Percent Effort" prompt="For Full Time Positions - _x000a_If you prefer % effort for any of the personnel rows, you may use the Effort Converter Calculator on the seperate worksheet." sqref="H17"/>
    <dataValidation allowBlank="1" showInputMessage="1" showErrorMessage="1" promptTitle="Part-Time Faculty" prompt="If there are part-time faculty on any of the rows, you must annualize their base salary.  You may use the P-T Faculty worksheet to do so." sqref="G17"/>
  </dataValidations>
  <hyperlinks>
    <hyperlink ref="N124" r:id="rId1"/>
    <hyperlink ref="N259" r:id="rId2"/>
    <hyperlink ref="N260" r:id="rId3"/>
  </hyperlinks>
  <pageMargins left="0.25" right="0.25" top="0.25" bottom="0.25" header="0" footer="0"/>
  <pageSetup scale="61" orientation="portrait" horizontalDpi="1200" verticalDpi="1200" r:id="rId4"/>
  <headerFooter alignWithMargins="0"/>
  <drawing r:id="rId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0"/>
  <sheetViews>
    <sheetView zoomScale="110" zoomScaleNormal="110" zoomScalePageLayoutView="125" workbookViewId="0">
      <selection activeCell="C8" sqref="C8"/>
    </sheetView>
  </sheetViews>
  <sheetFormatPr defaultColWidth="8.88671875" defaultRowHeight="13.8" x14ac:dyDescent="0.25"/>
  <cols>
    <col min="1" max="1" width="26.33203125" style="3" customWidth="1"/>
    <col min="2" max="2" width="13.6640625" style="3" customWidth="1"/>
    <col min="3" max="3" width="16.5546875" style="3" customWidth="1"/>
    <col min="4" max="4" width="10.33203125" style="3" hidden="1" customWidth="1"/>
    <col min="5" max="5" width="4.6640625" style="1" customWidth="1"/>
    <col min="6" max="6" width="10.44140625" style="1" hidden="1" customWidth="1"/>
    <col min="7" max="7" width="10.44140625" style="867" customWidth="1"/>
    <col min="8" max="8" width="12" style="1" customWidth="1"/>
    <col min="9" max="9" width="10.44140625" style="1" customWidth="1"/>
    <col min="10" max="10" width="10.44140625" style="1" hidden="1" customWidth="1"/>
    <col min="11" max="11" width="16.33203125" style="1" customWidth="1"/>
    <col min="12" max="12" width="14.109375" style="1" customWidth="1"/>
    <col min="13" max="13" width="20.44140625" style="1" customWidth="1"/>
    <col min="14" max="14" width="17.33203125" style="1" customWidth="1"/>
    <col min="15" max="15" width="8.6640625" style="13" hidden="1" customWidth="1"/>
    <col min="16" max="16" width="10.109375" style="13" hidden="1" customWidth="1"/>
    <col min="17" max="17" width="8" style="230" customWidth="1"/>
    <col min="18" max="18" width="9.44140625" style="642" customWidth="1"/>
    <col min="19" max="19" width="11.6640625" style="642" hidden="1" customWidth="1"/>
    <col min="20" max="20" width="1.44140625" style="230" customWidth="1"/>
    <col min="21" max="21" width="7.6640625" style="230" customWidth="1"/>
    <col min="22" max="22" width="7.44140625" style="230" hidden="1" customWidth="1"/>
    <col min="23" max="23" width="9.44140625" style="230" hidden="1" customWidth="1"/>
    <col min="24" max="25" width="9.44140625" style="866" customWidth="1"/>
    <col min="26" max="26" width="8" style="230" hidden="1" customWidth="1"/>
    <col min="27" max="27" width="9.109375" style="230" hidden="1" customWidth="1"/>
    <col min="28" max="28" width="7.44140625" style="230" customWidth="1"/>
    <col min="29" max="29" width="2.88671875" style="230" customWidth="1"/>
    <col min="30" max="30" width="14.109375" style="230" hidden="1" customWidth="1"/>
    <col min="31" max="31" width="11.88671875" style="265" hidden="1" customWidth="1"/>
    <col min="32" max="32" width="10.88671875" style="265" hidden="1" customWidth="1"/>
    <col min="33" max="33" width="1.6640625" style="230" hidden="1" customWidth="1"/>
    <col min="34" max="34" width="13.109375" style="230" hidden="1" customWidth="1"/>
    <col min="35" max="35" width="12.44140625" style="265" hidden="1" customWidth="1"/>
    <col min="36" max="36" width="12.33203125" style="265" hidden="1" customWidth="1"/>
    <col min="37" max="37" width="1" style="230" customWidth="1"/>
    <col min="38" max="38" width="10.109375" style="230" hidden="1" customWidth="1"/>
    <col min="39" max="39" width="8.88671875" style="230" hidden="1" customWidth="1"/>
    <col min="40" max="40" width="1.44140625" style="230" hidden="1" customWidth="1"/>
    <col min="41" max="41" width="10" style="230" hidden="1" customWidth="1"/>
    <col min="42" max="42" width="9.88671875" style="230" hidden="1" customWidth="1"/>
    <col min="43" max="43" width="1" style="230" hidden="1" customWidth="1"/>
    <col min="44" max="44" width="11" style="230" hidden="1" customWidth="1"/>
    <col min="45" max="45" width="10.88671875" style="230" hidden="1" customWidth="1"/>
    <col min="46" max="46" width="11.88671875" style="230" hidden="1" customWidth="1"/>
    <col min="47" max="47" width="10.33203125" style="230" customWidth="1"/>
    <col min="48" max="48" width="8.88671875" style="230" customWidth="1"/>
    <col min="49" max="57" width="8.88671875" style="230"/>
    <col min="58" max="16384" width="8.88671875" style="1"/>
  </cols>
  <sheetData>
    <row r="1" spans="1:83" s="867" customFormat="1" x14ac:dyDescent="0.25">
      <c r="A1" s="863" t="s">
        <v>411</v>
      </c>
      <c r="B1" s="863"/>
      <c r="C1" s="864"/>
      <c r="D1" s="864"/>
      <c r="E1" s="865"/>
      <c r="F1" s="865"/>
      <c r="G1" s="865"/>
      <c r="H1" s="865"/>
      <c r="I1" s="865"/>
      <c r="J1" s="865"/>
      <c r="K1" s="865"/>
      <c r="L1" s="865"/>
      <c r="M1" s="865"/>
      <c r="N1" s="865"/>
      <c r="O1" s="866"/>
      <c r="P1" s="866"/>
      <c r="T1" s="1028"/>
      <c r="U1" s="1029"/>
      <c r="V1" s="1029"/>
      <c r="W1" s="1029"/>
      <c r="X1" s="1029"/>
      <c r="Y1" s="1029"/>
      <c r="Z1" s="1029"/>
      <c r="AA1" s="1029"/>
      <c r="AB1" s="1029"/>
      <c r="AC1" s="868"/>
      <c r="AD1" s="868"/>
      <c r="AE1" s="866"/>
      <c r="AF1" s="866"/>
      <c r="AG1" s="868"/>
      <c r="AH1" s="868"/>
      <c r="AP1" s="129" t="e">
        <f>#REF!*#REF!</f>
        <v>#REF!</v>
      </c>
      <c r="AQ1" s="129" t="e">
        <f>#REF!*#REF!</f>
        <v>#REF!</v>
      </c>
      <c r="AR1" s="129" t="e">
        <f>#REF!*#REF!</f>
        <v>#REF!</v>
      </c>
      <c r="AS1" s="866"/>
      <c r="AT1" s="866"/>
      <c r="AU1" s="866"/>
      <c r="AV1" s="866"/>
      <c r="AW1" s="866"/>
      <c r="AX1" s="866"/>
      <c r="AY1" s="866"/>
      <c r="AZ1" s="866"/>
      <c r="BA1" s="866"/>
      <c r="BB1" s="866"/>
      <c r="BC1" s="866"/>
      <c r="BD1" s="866"/>
      <c r="BE1" s="866"/>
      <c r="BF1" s="869"/>
      <c r="BG1" s="869"/>
      <c r="BH1" s="869"/>
      <c r="BI1" s="869"/>
      <c r="BJ1" s="869"/>
      <c r="BK1" s="869"/>
      <c r="BL1" s="869"/>
      <c r="BM1" s="869"/>
      <c r="BN1" s="869"/>
      <c r="BO1" s="869"/>
      <c r="BP1" s="869"/>
      <c r="BQ1" s="869"/>
      <c r="BR1" s="869"/>
      <c r="BS1" s="869"/>
      <c r="BT1" s="869"/>
      <c r="BU1" s="869"/>
      <c r="BV1" s="869"/>
      <c r="BW1" s="869"/>
      <c r="BX1" s="869"/>
      <c r="BY1" s="869"/>
      <c r="BZ1" s="869"/>
      <c r="CA1" s="869"/>
      <c r="CB1" s="869"/>
      <c r="CC1" s="869"/>
      <c r="CD1" s="869"/>
      <c r="CE1" s="869"/>
    </row>
    <row r="2" spans="1:83" s="867" customFormat="1" ht="14.4" x14ac:dyDescent="0.25">
      <c r="A2" s="885" t="s">
        <v>418</v>
      </c>
      <c r="B2" s="885"/>
      <c r="C2" s="871"/>
      <c r="D2" s="871"/>
      <c r="E2" s="872"/>
      <c r="F2" s="872"/>
      <c r="G2" s="872"/>
      <c r="H2" s="872"/>
      <c r="I2" s="872"/>
      <c r="J2" s="872"/>
      <c r="K2" s="872"/>
      <c r="L2" s="872"/>
      <c r="M2" s="872"/>
      <c r="N2" s="872"/>
      <c r="T2" s="1028"/>
      <c r="U2" s="757"/>
      <c r="V2" s="757"/>
      <c r="W2" s="1385"/>
      <c r="X2" s="1383"/>
      <c r="Y2" s="1383"/>
      <c r="Z2" s="1523"/>
      <c r="AA2" s="1523"/>
      <c r="AB2" s="1031"/>
      <c r="AC2" s="873"/>
      <c r="AD2" s="873"/>
      <c r="AG2" s="873"/>
      <c r="AH2" s="873"/>
      <c r="AS2" s="866"/>
      <c r="AT2" s="866"/>
      <c r="AU2" s="866"/>
      <c r="AV2" s="866"/>
      <c r="AW2" s="866"/>
      <c r="AX2" s="866"/>
      <c r="AY2" s="866"/>
      <c r="AZ2" s="866"/>
      <c r="BA2" s="866"/>
      <c r="BB2" s="866"/>
      <c r="BC2" s="866"/>
      <c r="BD2" s="866"/>
      <c r="BE2" s="866"/>
      <c r="BF2" s="869"/>
      <c r="BG2" s="869"/>
      <c r="BH2" s="869"/>
      <c r="BI2" s="869"/>
      <c r="BJ2" s="869"/>
      <c r="BK2" s="869"/>
      <c r="BL2" s="869"/>
      <c r="BM2" s="869"/>
      <c r="BN2" s="869"/>
      <c r="BO2" s="869"/>
      <c r="BP2" s="869"/>
      <c r="BQ2" s="869"/>
      <c r="BR2" s="869"/>
      <c r="BS2" s="869"/>
      <c r="BT2" s="869"/>
      <c r="BU2" s="869"/>
      <c r="BV2" s="869"/>
      <c r="BW2" s="869"/>
      <c r="BX2" s="869"/>
      <c r="BY2" s="869"/>
      <c r="BZ2" s="869"/>
      <c r="CA2" s="869"/>
      <c r="CB2" s="869"/>
      <c r="CC2" s="869"/>
      <c r="CD2" s="869"/>
      <c r="CE2" s="869"/>
    </row>
    <row r="3" spans="1:83" s="867" customFormat="1" ht="14.4" x14ac:dyDescent="0.25">
      <c r="A3" s="885" t="s">
        <v>546</v>
      </c>
      <c r="B3" s="885"/>
      <c r="C3" s="871"/>
      <c r="D3" s="871"/>
      <c r="E3" s="872"/>
      <c r="F3" s="872"/>
      <c r="G3" s="872"/>
      <c r="H3" s="872"/>
      <c r="I3" s="872"/>
      <c r="J3" s="872"/>
      <c r="K3" s="872"/>
      <c r="L3" s="872"/>
      <c r="M3" s="872"/>
      <c r="N3" s="872"/>
      <c r="T3" s="1028"/>
      <c r="U3" s="1392"/>
      <c r="V3" s="1523"/>
      <c r="W3" s="1523"/>
      <c r="X3" s="1383"/>
      <c r="Y3" s="1383"/>
      <c r="Z3" s="1523"/>
      <c r="AA3" s="1523"/>
      <c r="AB3" s="1031"/>
      <c r="AC3" s="873"/>
      <c r="AD3" s="873"/>
      <c r="AG3" s="873"/>
      <c r="AH3" s="873"/>
      <c r="AS3" s="866"/>
      <c r="AT3" s="866"/>
      <c r="AU3" s="866"/>
      <c r="AV3" s="866"/>
      <c r="AW3" s="866"/>
      <c r="AX3" s="866"/>
      <c r="AY3" s="866"/>
      <c r="AZ3" s="866"/>
      <c r="BA3" s="866"/>
      <c r="BB3" s="866"/>
      <c r="BC3" s="866"/>
      <c r="BD3" s="866"/>
      <c r="BE3" s="866"/>
      <c r="BF3" s="869"/>
      <c r="BG3" s="869"/>
      <c r="BH3" s="869"/>
      <c r="BI3" s="869"/>
      <c r="BJ3" s="869"/>
      <c r="BK3" s="869"/>
      <c r="BL3" s="869"/>
      <c r="BM3" s="869"/>
      <c r="BN3" s="869"/>
      <c r="BO3" s="869"/>
      <c r="BP3" s="869"/>
      <c r="BQ3" s="869"/>
      <c r="BR3" s="869"/>
      <c r="BS3" s="869"/>
      <c r="BT3" s="869"/>
      <c r="BU3" s="869"/>
      <c r="BV3" s="869"/>
      <c r="BW3" s="869"/>
      <c r="BX3" s="869"/>
      <c r="BY3" s="869"/>
      <c r="BZ3" s="869"/>
      <c r="CA3" s="869"/>
      <c r="CB3" s="869"/>
      <c r="CC3" s="869"/>
      <c r="CD3" s="869"/>
      <c r="CE3" s="869"/>
    </row>
    <row r="4" spans="1:83" s="867" customFormat="1" ht="14.4" x14ac:dyDescent="0.25">
      <c r="A4" s="885" t="s">
        <v>637</v>
      </c>
      <c r="B4" s="885"/>
      <c r="C4" s="871"/>
      <c r="D4" s="871"/>
      <c r="E4" s="872"/>
      <c r="F4" s="872"/>
      <c r="G4" s="872"/>
      <c r="H4" s="872"/>
      <c r="I4" s="872"/>
      <c r="J4" s="872"/>
      <c r="K4" s="872"/>
      <c r="L4" s="872"/>
      <c r="M4" s="872"/>
      <c r="N4" s="872"/>
      <c r="T4" s="713"/>
      <c r="U4" s="1392"/>
      <c r="V4" s="1523"/>
      <c r="W4" s="1523"/>
      <c r="X4" s="1383"/>
      <c r="Y4" s="1383"/>
      <c r="Z4" s="1523"/>
      <c r="AA4" s="1523"/>
      <c r="AB4" s="1031"/>
      <c r="AC4" s="873"/>
      <c r="AD4" s="873"/>
      <c r="AG4" s="873"/>
      <c r="AH4" s="873"/>
      <c r="AS4" s="866"/>
      <c r="AT4" s="866"/>
      <c r="AU4" s="866"/>
      <c r="AV4" s="866"/>
      <c r="AW4" s="866"/>
      <c r="AX4" s="866"/>
      <c r="AY4" s="866"/>
      <c r="AZ4" s="866"/>
      <c r="BA4" s="866"/>
      <c r="BB4" s="866"/>
      <c r="BC4" s="866"/>
      <c r="BD4" s="866"/>
      <c r="BE4" s="866"/>
      <c r="BF4" s="869"/>
      <c r="BG4" s="869"/>
      <c r="BH4" s="869"/>
      <c r="BI4" s="869"/>
      <c r="BJ4" s="869"/>
      <c r="BK4" s="869"/>
      <c r="BL4" s="869"/>
      <c r="BM4" s="869"/>
      <c r="BN4" s="869"/>
      <c r="BO4" s="869"/>
      <c r="BP4" s="869"/>
      <c r="BQ4" s="869"/>
      <c r="BR4" s="869"/>
      <c r="BS4" s="869"/>
      <c r="BT4" s="869"/>
      <c r="BU4" s="869"/>
      <c r="BV4" s="869"/>
      <c r="BW4" s="869"/>
      <c r="BX4" s="869"/>
      <c r="BY4" s="869"/>
      <c r="BZ4" s="869"/>
      <c r="CA4" s="869"/>
      <c r="CB4" s="869"/>
      <c r="CC4" s="869"/>
      <c r="CD4" s="869"/>
      <c r="CE4" s="869"/>
    </row>
    <row r="5" spans="1:83" s="867" customFormat="1" ht="14.4" x14ac:dyDescent="0.25">
      <c r="A5" s="870" t="s">
        <v>638</v>
      </c>
      <c r="B5" s="870"/>
      <c r="C5" s="871"/>
      <c r="D5" s="871"/>
      <c r="E5" s="872"/>
      <c r="F5" s="872"/>
      <c r="G5" s="872"/>
      <c r="H5" s="872"/>
      <c r="I5" s="872"/>
      <c r="J5" s="872"/>
      <c r="K5" s="872"/>
      <c r="L5" s="872"/>
      <c r="M5" s="872"/>
      <c r="N5" s="872"/>
      <c r="T5" s="713"/>
      <c r="U5" s="1392"/>
      <c r="V5" s="1523"/>
      <c r="W5" s="1523"/>
      <c r="X5" s="1383"/>
      <c r="Y5" s="1383"/>
      <c r="Z5" s="1523"/>
      <c r="AA5" s="1523"/>
      <c r="AB5" s="1031"/>
      <c r="AC5" s="129"/>
      <c r="AD5" s="873"/>
      <c r="AG5" s="873"/>
      <c r="AH5" s="873"/>
      <c r="AS5" s="866"/>
      <c r="AT5" s="866"/>
      <c r="AU5" s="866"/>
      <c r="AV5" s="866"/>
      <c r="AW5" s="866"/>
      <c r="AX5" s="866"/>
      <c r="AY5" s="866"/>
      <c r="AZ5" s="866"/>
      <c r="BA5" s="866"/>
      <c r="BB5" s="866"/>
      <c r="BC5" s="866"/>
      <c r="BD5" s="866"/>
      <c r="BE5" s="866"/>
      <c r="BF5" s="869"/>
      <c r="BG5" s="869"/>
      <c r="BH5" s="869"/>
      <c r="BI5" s="869"/>
      <c r="BJ5" s="869"/>
      <c r="BK5" s="869"/>
      <c r="BL5" s="869"/>
      <c r="BM5" s="869"/>
      <c r="BN5" s="869"/>
      <c r="BO5" s="869"/>
      <c r="BP5" s="869"/>
      <c r="BQ5" s="869"/>
      <c r="BR5" s="869"/>
      <c r="BS5" s="869"/>
      <c r="BT5" s="869"/>
      <c r="BU5" s="869"/>
      <c r="BV5" s="869"/>
      <c r="BW5" s="869"/>
      <c r="BX5" s="869"/>
      <c r="BY5" s="869"/>
      <c r="BZ5" s="869"/>
      <c r="CA5" s="869"/>
      <c r="CB5" s="869"/>
      <c r="CC5" s="869"/>
      <c r="CD5" s="869"/>
      <c r="CE5" s="869"/>
    </row>
    <row r="6" spans="1:83" ht="16.5" customHeight="1" x14ac:dyDescent="0.25">
      <c r="A6" s="307"/>
      <c r="B6" s="307"/>
      <c r="C6" s="283"/>
      <c r="D6" s="283"/>
      <c r="E6" s="283"/>
      <c r="F6" s="283" t="s">
        <v>57</v>
      </c>
      <c r="G6" s="283"/>
      <c r="H6" s="283" t="s">
        <v>57</v>
      </c>
      <c r="I6" s="283"/>
      <c r="J6" s="283"/>
      <c r="K6" s="283"/>
      <c r="L6" s="283"/>
      <c r="M6" s="283"/>
      <c r="N6" s="284"/>
      <c r="O6" s="176"/>
      <c r="P6" s="176"/>
      <c r="T6" s="713"/>
      <c r="U6" s="1392"/>
      <c r="V6" s="1523"/>
      <c r="W6" s="1523"/>
      <c r="X6" s="1383"/>
      <c r="Y6" s="1383"/>
      <c r="Z6" s="1523"/>
      <c r="AA6" s="1523"/>
      <c r="AB6" s="1031"/>
      <c r="AC6" s="713"/>
    </row>
    <row r="7" spans="1:83" ht="6.75" customHeight="1" x14ac:dyDescent="0.25">
      <c r="A7" s="657"/>
      <c r="B7" s="657"/>
      <c r="C7" s="658"/>
      <c r="D7" s="658"/>
      <c r="E7" s="244"/>
      <c r="F7" s="244"/>
      <c r="G7" s="244"/>
      <c r="H7" s="244"/>
      <c r="I7" s="244"/>
      <c r="J7" s="244"/>
      <c r="K7" s="244"/>
      <c r="L7" s="244"/>
      <c r="M7" s="244"/>
      <c r="N7" s="245"/>
      <c r="O7" s="57"/>
      <c r="P7" s="57"/>
      <c r="Q7" s="713"/>
      <c r="R7" s="1077"/>
      <c r="S7" s="1077"/>
      <c r="T7" s="713"/>
      <c r="U7" s="713"/>
      <c r="V7" s="713"/>
      <c r="W7" s="713"/>
      <c r="X7" s="713"/>
      <c r="Y7" s="713"/>
      <c r="Z7" s="713"/>
      <c r="AA7" s="713"/>
      <c r="AB7" s="713"/>
      <c r="AC7" s="713"/>
    </row>
    <row r="8" spans="1:83" ht="16.5" customHeight="1" x14ac:dyDescent="0.25">
      <c r="A8" s="1194" t="s">
        <v>569</v>
      </c>
      <c r="B8" s="1194"/>
      <c r="C8" s="219" t="str">
        <f>'Y1'!B8</f>
        <v>enter PI name in this cell on Y1 tab</v>
      </c>
      <c r="D8" s="219"/>
      <c r="E8" s="280"/>
      <c r="F8" s="246"/>
      <c r="G8" s="246"/>
      <c r="H8" s="246"/>
      <c r="I8" s="246"/>
      <c r="J8" s="246"/>
      <c r="K8" s="1267" t="s">
        <v>573</v>
      </c>
      <c r="L8" s="219" t="str">
        <f>'Y1'!M8</f>
        <v>enter GCO # in this cell on Y1 tab</v>
      </c>
      <c r="M8" s="246"/>
      <c r="N8" s="1054" t="s">
        <v>632</v>
      </c>
      <c r="O8" s="57"/>
      <c r="P8" s="57"/>
      <c r="Q8" s="713"/>
      <c r="R8" s="1077"/>
      <c r="S8" s="1077"/>
      <c r="T8" s="713"/>
      <c r="U8" s="713"/>
      <c r="V8" s="713"/>
      <c r="W8" s="713"/>
      <c r="X8" s="713"/>
      <c r="Y8" s="713"/>
      <c r="Z8" s="713"/>
      <c r="AA8" s="713"/>
      <c r="AB8" s="713"/>
      <c r="AC8" s="713"/>
    </row>
    <row r="9" spans="1:83" ht="16.5" customHeight="1" x14ac:dyDescent="0.25">
      <c r="A9" s="1194" t="s">
        <v>570</v>
      </c>
      <c r="B9" s="1194"/>
      <c r="C9" s="219" t="str">
        <f>'Y1'!B9</f>
        <v>enter funding agency name in this cell on Y1 tab</v>
      </c>
      <c r="D9" s="219"/>
      <c r="E9" s="280"/>
      <c r="F9" s="246"/>
      <c r="G9" s="246"/>
      <c r="H9" s="246"/>
      <c r="I9" s="246"/>
      <c r="J9" s="246"/>
      <c r="K9" s="1267" t="s">
        <v>574</v>
      </c>
      <c r="L9" s="219" t="str">
        <f>'Y1'!M9</f>
        <v>enter fund # in this cell on Y1 tab</v>
      </c>
      <c r="M9" s="246"/>
      <c r="N9" s="285"/>
      <c r="O9" s="57"/>
      <c r="P9" s="57"/>
      <c r="Q9" s="713"/>
      <c r="R9" s="1077"/>
      <c r="S9" s="1077"/>
      <c r="T9" s="713"/>
      <c r="U9" s="713"/>
      <c r="V9" s="713"/>
      <c r="W9" s="713"/>
      <c r="X9" s="713"/>
      <c r="Y9" s="713"/>
      <c r="Z9" s="713"/>
      <c r="AA9" s="713"/>
      <c r="AB9" s="713"/>
      <c r="AC9" s="713"/>
    </row>
    <row r="10" spans="1:83" s="170" customFormat="1" ht="16.5" customHeight="1" x14ac:dyDescent="0.25">
      <c r="A10" s="1194" t="s">
        <v>571</v>
      </c>
      <c r="B10" s="1194"/>
      <c r="C10" s="219" t="str">
        <f>'Y1'!B10</f>
        <v>enter project title in this cell on Y1 tab</v>
      </c>
      <c r="D10" s="219"/>
      <c r="E10" s="280"/>
      <c r="F10" s="275"/>
      <c r="G10" s="275"/>
      <c r="H10" s="275"/>
      <c r="I10" s="275"/>
      <c r="J10" s="275"/>
      <c r="K10" s="1267" t="s">
        <v>575</v>
      </c>
      <c r="L10" s="219" t="str">
        <f>'Y1'!M10</f>
        <v>enter agency # in this cell on Y1 tab</v>
      </c>
      <c r="M10" s="275"/>
      <c r="N10" s="286"/>
      <c r="O10" s="19"/>
      <c r="P10" s="19"/>
      <c r="Q10" s="1028"/>
      <c r="R10" s="1083"/>
      <c r="S10" s="1083"/>
      <c r="T10" s="1028"/>
      <c r="U10" s="1028"/>
      <c r="V10" s="1028"/>
      <c r="W10" s="1028"/>
      <c r="X10" s="1028"/>
      <c r="Y10" s="1028"/>
      <c r="Z10" s="1028"/>
      <c r="AA10" s="1028"/>
      <c r="AB10" s="1028"/>
      <c r="AC10" s="1028"/>
      <c r="AD10" s="231"/>
      <c r="AE10" s="266"/>
      <c r="AF10" s="266"/>
      <c r="AG10" s="231"/>
      <c r="AH10" s="231"/>
      <c r="AI10" s="266"/>
      <c r="AJ10" s="266"/>
      <c r="AK10" s="231"/>
      <c r="AL10" s="231"/>
      <c r="AM10" s="231"/>
      <c r="AN10" s="231"/>
      <c r="AO10" s="231"/>
      <c r="AP10" s="231"/>
      <c r="AQ10" s="231"/>
      <c r="AR10" s="231"/>
      <c r="AS10" s="231"/>
      <c r="AT10" s="231"/>
      <c r="AU10" s="231"/>
      <c r="AV10" s="231"/>
      <c r="AW10" s="231"/>
      <c r="AX10" s="231"/>
      <c r="AY10" s="231"/>
      <c r="AZ10" s="231"/>
      <c r="BA10" s="231"/>
      <c r="BB10" s="231"/>
      <c r="BC10" s="231"/>
      <c r="BD10" s="231"/>
      <c r="BE10" s="231"/>
    </row>
    <row r="11" spans="1:83" s="170" customFormat="1" ht="16.5" customHeight="1" x14ac:dyDescent="0.25">
      <c r="A11" s="1267" t="s">
        <v>572</v>
      </c>
      <c r="B11" s="1267"/>
      <c r="C11" s="304" t="s">
        <v>296</v>
      </c>
      <c r="D11" s="1290"/>
      <c r="E11" s="280"/>
      <c r="F11" s="275"/>
      <c r="G11" s="275"/>
      <c r="H11" s="275"/>
      <c r="I11" s="275"/>
      <c r="J11" s="275"/>
      <c r="K11" s="275"/>
      <c r="L11" s="275"/>
      <c r="M11" s="275"/>
      <c r="N11" s="286"/>
      <c r="O11" s="19"/>
      <c r="P11" s="19"/>
      <c r="Q11" s="1028"/>
      <c r="R11" s="1083"/>
      <c r="S11" s="1083"/>
      <c r="T11" s="1028"/>
      <c r="U11" s="1028"/>
      <c r="V11" s="1028"/>
      <c r="W11" s="1028"/>
      <c r="X11" s="1028"/>
      <c r="Y11" s="1028"/>
      <c r="Z11" s="1028"/>
      <c r="AA11" s="1028"/>
      <c r="AB11" s="1028"/>
      <c r="AC11" s="1028"/>
      <c r="AD11" s="231"/>
      <c r="AE11" s="266"/>
      <c r="AF11" s="266"/>
      <c r="AG11" s="231"/>
      <c r="AH11" s="231"/>
      <c r="AI11" s="266"/>
      <c r="AJ11" s="266"/>
      <c r="AK11" s="231"/>
      <c r="AL11" s="231"/>
      <c r="AM11" s="231"/>
      <c r="AN11" s="231"/>
      <c r="AO11" s="231"/>
      <c r="AP11" s="231"/>
      <c r="AQ11" s="231"/>
      <c r="AR11" s="231"/>
      <c r="AS11" s="231"/>
      <c r="AT11" s="231"/>
      <c r="AU11" s="231"/>
      <c r="AV11" s="231"/>
      <c r="AW11" s="231"/>
      <c r="AX11" s="231"/>
      <c r="AY11" s="231"/>
      <c r="AZ11" s="231"/>
      <c r="BA11" s="231"/>
      <c r="BB11" s="231"/>
      <c r="BC11" s="231"/>
      <c r="BD11" s="231"/>
      <c r="BE11" s="231"/>
    </row>
    <row r="12" spans="1:83" s="170" customFormat="1" ht="16.5" customHeight="1" x14ac:dyDescent="0.3">
      <c r="A12" s="1194" t="s">
        <v>105</v>
      </c>
      <c r="B12" s="1194"/>
      <c r="C12" s="275" t="s">
        <v>11</v>
      </c>
      <c r="D12" s="275"/>
      <c r="E12" s="282"/>
      <c r="F12" s="275"/>
      <c r="G12" s="275"/>
      <c r="H12" s="275"/>
      <c r="I12" s="275"/>
      <c r="J12" s="275"/>
      <c r="K12" s="275"/>
      <c r="L12" s="1508" t="s">
        <v>44</v>
      </c>
      <c r="M12" s="1508"/>
      <c r="N12" s="1515"/>
      <c r="O12" s="19"/>
      <c r="P12" s="19"/>
      <c r="Q12" s="1368"/>
      <c r="R12" s="1516" t="s">
        <v>195</v>
      </c>
      <c r="S12" s="1084"/>
      <c r="U12" s="1389"/>
      <c r="V12" s="1390"/>
      <c r="W12" s="1391"/>
      <c r="X12" s="1527" t="s">
        <v>556</v>
      </c>
      <c r="Y12" s="1527" t="s">
        <v>557</v>
      </c>
      <c r="Z12" s="1524" t="s">
        <v>154</v>
      </c>
      <c r="AA12" s="1524" t="s">
        <v>155</v>
      </c>
      <c r="AB12" s="1393"/>
      <c r="AC12" s="1031"/>
      <c r="AD12" s="1479"/>
      <c r="AE12" s="1480"/>
      <c r="AF12" s="1480"/>
      <c r="AG12" s="1480"/>
      <c r="AH12" s="1480"/>
      <c r="AI12" s="1480"/>
      <c r="AJ12" s="1481"/>
      <c r="AK12" s="231"/>
      <c r="AL12" s="701" t="s">
        <v>157</v>
      </c>
      <c r="AM12" s="701" t="s">
        <v>158</v>
      </c>
      <c r="AN12" s="262"/>
      <c r="AO12" s="701" t="s">
        <v>157</v>
      </c>
      <c r="AP12" s="701" t="s">
        <v>158</v>
      </c>
      <c r="AQ12" s="230"/>
      <c r="AR12" s="701" t="s">
        <v>157</v>
      </c>
      <c r="AS12" s="701" t="s">
        <v>158</v>
      </c>
      <c r="AT12" s="231" t="s">
        <v>4</v>
      </c>
      <c r="AU12" s="231"/>
      <c r="AV12" s="231"/>
      <c r="AW12" s="231"/>
      <c r="AX12" s="231"/>
      <c r="AY12" s="231"/>
      <c r="AZ12" s="231"/>
      <c r="BA12" s="231"/>
      <c r="BB12" s="231"/>
      <c r="BC12" s="231"/>
      <c r="BD12" s="231"/>
      <c r="BE12" s="231"/>
    </row>
    <row r="13" spans="1:83" ht="3.6" customHeight="1" x14ac:dyDescent="0.25">
      <c r="A13" s="230"/>
      <c r="B13" s="866"/>
      <c r="C13" s="529"/>
      <c r="D13" s="529"/>
      <c r="E13" s="262"/>
      <c r="F13" s="262"/>
      <c r="G13" s="262"/>
      <c r="H13" s="262"/>
      <c r="I13" s="262"/>
      <c r="J13" s="262"/>
      <c r="K13" s="262"/>
      <c r="L13" s="1183" t="s">
        <v>22</v>
      </c>
      <c r="M13" s="1184"/>
      <c r="N13" s="1182">
        <v>0.30499999999999999</v>
      </c>
      <c r="O13" s="177"/>
      <c r="P13" s="177"/>
      <c r="Q13" s="1476" t="s">
        <v>590</v>
      </c>
      <c r="R13" s="1517"/>
      <c r="S13" s="1084"/>
      <c r="U13" s="1520" t="s">
        <v>148</v>
      </c>
      <c r="V13" s="1525" t="s">
        <v>151</v>
      </c>
      <c r="W13" s="1525" t="s">
        <v>152</v>
      </c>
      <c r="X13" s="1528"/>
      <c r="Y13" s="1528"/>
      <c r="Z13" s="1525"/>
      <c r="AA13" s="1525"/>
      <c r="AB13" s="1030"/>
      <c r="AC13" s="1031"/>
      <c r="AD13" s="271"/>
      <c r="AE13" s="272"/>
      <c r="AF13" s="272"/>
      <c r="AG13" s="262"/>
      <c r="AH13" s="262"/>
      <c r="AI13" s="272"/>
      <c r="AJ13" s="273"/>
    </row>
    <row r="14" spans="1:83" ht="16.5" customHeight="1" x14ac:dyDescent="0.25">
      <c r="A14" s="93" t="s">
        <v>28</v>
      </c>
      <c r="B14" s="93"/>
      <c r="C14" s="605"/>
      <c r="D14" s="605"/>
      <c r="E14" s="329"/>
      <c r="F14" s="329"/>
      <c r="G14" s="329"/>
      <c r="H14" s="329"/>
      <c r="I14" s="329"/>
      <c r="J14" s="329"/>
      <c r="K14" s="329"/>
      <c r="L14" s="1185" t="s">
        <v>21</v>
      </c>
      <c r="M14" s="1186"/>
      <c r="N14" s="1179">
        <v>0.315</v>
      </c>
      <c r="O14" s="177"/>
      <c r="P14" s="177"/>
      <c r="Q14" s="1476"/>
      <c r="R14" s="1517"/>
      <c r="S14" s="1085"/>
      <c r="U14" s="1521"/>
      <c r="V14" s="1525"/>
      <c r="W14" s="1525"/>
      <c r="X14" s="1528"/>
      <c r="Y14" s="1528"/>
      <c r="Z14" s="1525"/>
      <c r="AA14" s="1525"/>
      <c r="AB14" s="1030"/>
      <c r="AC14" s="1031"/>
      <c r="AD14" s="274"/>
      <c r="AE14" s="272"/>
      <c r="AF14" s="275" t="s">
        <v>31</v>
      </c>
      <c r="AG14" s="262"/>
      <c r="AH14" s="275" t="s">
        <v>185</v>
      </c>
      <c r="AI14" s="272" t="s">
        <v>203</v>
      </c>
      <c r="AJ14" s="273" t="s">
        <v>204</v>
      </c>
      <c r="AL14" s="275" t="s">
        <v>31</v>
      </c>
    </row>
    <row r="15" spans="1:83" ht="16.5" customHeight="1" x14ac:dyDescent="0.25">
      <c r="A15" s="1187" t="s">
        <v>5</v>
      </c>
      <c r="B15" s="1187"/>
      <c r="C15" s="529"/>
      <c r="D15" s="529"/>
      <c r="E15" s="331"/>
      <c r="F15" s="1285"/>
      <c r="G15" s="1285"/>
      <c r="H15" s="1280"/>
      <c r="I15" s="1280"/>
      <c r="J15" s="1280"/>
      <c r="K15" s="262"/>
      <c r="L15" s="230"/>
      <c r="M15" s="230"/>
      <c r="N15" s="286"/>
      <c r="O15" s="178"/>
      <c r="P15" s="178"/>
      <c r="Q15" s="1476"/>
      <c r="R15" s="1517"/>
      <c r="S15" s="1085"/>
      <c r="U15" s="1521"/>
      <c r="V15" s="1525"/>
      <c r="W15" s="1525"/>
      <c r="X15" s="1528"/>
      <c r="Y15" s="1528"/>
      <c r="Z15" s="1525"/>
      <c r="AA15" s="1525"/>
      <c r="AB15" s="1030"/>
      <c r="AC15" s="1031"/>
      <c r="AD15" s="274"/>
      <c r="AE15" s="276"/>
      <c r="AF15" s="276"/>
      <c r="AG15" s="277" t="s">
        <v>36</v>
      </c>
      <c r="AH15" s="275" t="s">
        <v>186</v>
      </c>
      <c r="AI15" s="278" t="s">
        <v>136</v>
      </c>
      <c r="AJ15" s="279" t="s">
        <v>137</v>
      </c>
    </row>
    <row r="16" spans="1:83" s="1158" customFormat="1" ht="30" customHeight="1" x14ac:dyDescent="0.25">
      <c r="A16" s="1207" t="s">
        <v>36</v>
      </c>
      <c r="B16" s="1207"/>
      <c r="C16" s="1437" t="s">
        <v>25</v>
      </c>
      <c r="D16" s="1217" t="s">
        <v>6</v>
      </c>
      <c r="E16" s="1409"/>
      <c r="F16" s="1438" t="s">
        <v>601</v>
      </c>
      <c r="G16" s="1218" t="s">
        <v>27</v>
      </c>
      <c r="H16" s="1218" t="s">
        <v>558</v>
      </c>
      <c r="I16" s="1409"/>
      <c r="J16" s="1438"/>
      <c r="K16" s="1218" t="s">
        <v>7</v>
      </c>
      <c r="L16" s="1218" t="s">
        <v>54</v>
      </c>
      <c r="M16" s="1218" t="s">
        <v>55</v>
      </c>
      <c r="N16" s="1410" t="s">
        <v>8</v>
      </c>
      <c r="O16" s="1191"/>
      <c r="P16" s="1191"/>
      <c r="Q16" s="1519"/>
      <c r="R16" s="1518"/>
      <c r="S16" s="1086" t="s">
        <v>131</v>
      </c>
      <c r="T16" s="1028"/>
      <c r="U16" s="1522"/>
      <c r="V16" s="1526"/>
      <c r="W16" s="1526"/>
      <c r="X16" s="1529"/>
      <c r="Y16" s="1529"/>
      <c r="Z16" s="1526"/>
      <c r="AA16" s="1526"/>
      <c r="AB16" s="1032"/>
      <c r="AC16" s="757"/>
      <c r="AD16" s="488"/>
      <c r="AE16" s="489"/>
      <c r="AF16" s="490"/>
      <c r="AG16" s="1190"/>
      <c r="AH16" s="1465" t="s">
        <v>160</v>
      </c>
      <c r="AI16" s="1465"/>
      <c r="AJ16" s="1466"/>
      <c r="AK16" s="1159"/>
      <c r="AL16" s="1464" t="s">
        <v>159</v>
      </c>
      <c r="AM16" s="1464"/>
      <c r="AN16" s="1159"/>
      <c r="AO16" s="1466" t="s">
        <v>160</v>
      </c>
      <c r="AP16" s="1466"/>
      <c r="AQ16" s="1159"/>
      <c r="AR16" s="1507" t="s">
        <v>161</v>
      </c>
      <c r="AS16" s="1507"/>
      <c r="AT16" s="1507"/>
      <c r="AU16" s="1159"/>
      <c r="AV16" s="1159"/>
      <c r="AW16" s="1159"/>
      <c r="AX16" s="1159"/>
      <c r="AY16" s="1159"/>
      <c r="AZ16" s="1159"/>
      <c r="BA16" s="1159"/>
      <c r="BB16" s="1159"/>
      <c r="BC16" s="1159"/>
      <c r="BD16" s="1159"/>
      <c r="BE16" s="1159"/>
    </row>
    <row r="17" spans="1:46" ht="16.5" customHeight="1" thickBot="1" x14ac:dyDescent="0.3">
      <c r="A17" s="602"/>
      <c r="B17" s="1370"/>
      <c r="C17" s="226"/>
      <c r="D17" s="1313">
        <f t="shared" ref="D17:D24" si="0">H17/12</f>
        <v>0</v>
      </c>
      <c r="F17" s="223" t="str">
        <f t="shared" ref="F17:F24" si="1">IF(Q17=12, "n/a ", IF(AND(Q17&lt;12, R17="Yes"), "n/a", D17*S17))</f>
        <v xml:space="preserve">n/a </v>
      </c>
      <c r="G17" s="227"/>
      <c r="H17" s="1436"/>
      <c r="J17" s="1291"/>
      <c r="K17" s="398">
        <f>IF(AND(L105="Yes",G17&gt;L122),L122*D17*S17,IF(AND(Q17=12,U17="Yes"),G17*Z17,IF(AND(Q17&lt;12,U17="Yes"),G17*S17*Z17,G17*D17*S17)))</f>
        <v>0</v>
      </c>
      <c r="L17" s="223">
        <f t="shared" ref="L17:L24" si="2">IF(AND($E$286="No",$L$231="No"),$M$232,IF(AND($E$286="No",$L$231="Yes"),$N$14,$N$13))</f>
        <v>0.30499999999999999</v>
      </c>
      <c r="M17" s="398">
        <f t="shared" ref="M17:M24" si="3">K17*L17</f>
        <v>0</v>
      </c>
      <c r="N17" s="513">
        <f t="shared" ref="N17:N24" si="4">K17+M17</f>
        <v>0</v>
      </c>
      <c r="O17" s="25"/>
      <c r="P17" s="25"/>
      <c r="Q17" s="1033">
        <v>12</v>
      </c>
      <c r="R17" s="1387" t="s">
        <v>60</v>
      </c>
      <c r="S17" s="1310">
        <f t="shared" ref="S17:S24" si="5">Q17/12</f>
        <v>1</v>
      </c>
      <c r="T17" s="713"/>
      <c r="U17" s="1388" t="s">
        <v>60</v>
      </c>
      <c r="V17" s="1035" t="str">
        <f t="shared" ref="V17:V24" si="6">IF(U17="No", " ", Z17/D17)</f>
        <v xml:space="preserve"> </v>
      </c>
      <c r="W17" s="1036" t="str">
        <f>IF(U17="No", " ", 1-V17)</f>
        <v xml:space="preserve"> </v>
      </c>
      <c r="X17" s="1297"/>
      <c r="Y17" s="1307" t="str">
        <f>IF(AA17 = " ", " ", AA17*12)</f>
        <v xml:space="preserve"> </v>
      </c>
      <c r="Z17" s="1308">
        <f>X17/12</f>
        <v>0</v>
      </c>
      <c r="AA17" s="254" t="str">
        <f t="shared" ref="AA17:AA24" si="7">IF(AND(Q17=12,U17="Yes"),D17-Z17,IF(AND(Q17&lt;12,U17="Yes"),F17-Z17," "))</f>
        <v xml:space="preserve"> </v>
      </c>
      <c r="AB17" s="1037" t="str">
        <f t="shared" ref="AB17:AB24" si="8">IF(AND(Q17=12,U17="Yes",Z17&gt;D17),"ERROR",IF(AND(Q17&lt;12,U17="Yes",Z17&gt;F17),"ERROR"," "))</f>
        <v xml:space="preserve"> </v>
      </c>
      <c r="AC17" s="1038"/>
      <c r="AD17" s="258"/>
      <c r="AE17" s="259"/>
      <c r="AF17" s="259"/>
      <c r="AG17" s="302">
        <f t="shared" ref="AG17:AG24" si="9">A17</f>
        <v>0</v>
      </c>
      <c r="AH17" s="303">
        <f t="shared" ref="AH17:AH24" si="10">N17</f>
        <v>0</v>
      </c>
      <c r="AI17" s="837"/>
      <c r="AJ17" s="264">
        <f>1-AI17</f>
        <v>1</v>
      </c>
      <c r="AL17" s="656">
        <f t="shared" ref="AL17:AL24" si="11">N17*AE17</f>
        <v>0</v>
      </c>
      <c r="AM17" s="656">
        <f t="shared" ref="AM17:AM24" si="12">N17*AF17</f>
        <v>0</v>
      </c>
      <c r="AO17" s="656">
        <f t="shared" ref="AO17:AO24" si="13">N17*AI17</f>
        <v>0</v>
      </c>
      <c r="AP17" s="656">
        <f t="shared" ref="AP17:AP24" si="14">N17*AJ17</f>
        <v>0</v>
      </c>
      <c r="AR17" s="656">
        <f t="shared" ref="AR17:AS24" si="15">AL17+AO17</f>
        <v>0</v>
      </c>
      <c r="AS17" s="656">
        <f t="shared" si="15"/>
        <v>0</v>
      </c>
      <c r="AT17" s="656">
        <f>AR17+AS17</f>
        <v>0</v>
      </c>
    </row>
    <row r="18" spans="1:46" ht="16.5" customHeight="1" thickTop="1" thickBot="1" x14ac:dyDescent="0.3">
      <c r="A18" s="602"/>
      <c r="B18" s="1370"/>
      <c r="C18" s="226"/>
      <c r="D18" s="1313">
        <f t="shared" si="0"/>
        <v>0</v>
      </c>
      <c r="F18" s="223" t="str">
        <f t="shared" si="1"/>
        <v xml:space="preserve">n/a </v>
      </c>
      <c r="G18" s="227"/>
      <c r="H18" s="1436"/>
      <c r="J18" s="1291"/>
      <c r="K18" s="398">
        <f t="shared" ref="K18:K24" si="16">IF(AND(Q18=12,U18="Yes"),G18*Z18,IF(AND(Q18&lt;12,U18="Yes"),G18*S18*Z18,IF(AND(R18="Yes",U18="No"),G18*D18*S18,G18*D18*S18)))</f>
        <v>0</v>
      </c>
      <c r="L18" s="223">
        <f t="shared" si="2"/>
        <v>0.30499999999999999</v>
      </c>
      <c r="M18" s="398">
        <f t="shared" si="3"/>
        <v>0</v>
      </c>
      <c r="N18" s="513">
        <f t="shared" si="4"/>
        <v>0</v>
      </c>
      <c r="O18" s="25"/>
      <c r="P18" s="25"/>
      <c r="Q18" s="1033">
        <v>12</v>
      </c>
      <c r="R18" s="1087" t="s">
        <v>60</v>
      </c>
      <c r="S18" s="1310">
        <f t="shared" si="5"/>
        <v>1</v>
      </c>
      <c r="T18" s="713"/>
      <c r="U18" s="1034" t="s">
        <v>60</v>
      </c>
      <c r="V18" s="1035" t="str">
        <f t="shared" si="6"/>
        <v xml:space="preserve"> </v>
      </c>
      <c r="W18" s="1036" t="str">
        <f t="shared" ref="W18:W24" si="17">IF(U18="No", " ", 1-V18)</f>
        <v xml:space="preserve"> </v>
      </c>
      <c r="X18" s="1297"/>
      <c r="Y18" s="1307" t="str">
        <f t="shared" ref="Y18:Y24" si="18">IF(AA18 = " ", " ", AA18*12)</f>
        <v xml:space="preserve"> </v>
      </c>
      <c r="Z18" s="1308">
        <f t="shared" ref="Z18:Z24" si="19">X18/12</f>
        <v>0</v>
      </c>
      <c r="AA18" s="254" t="str">
        <f t="shared" si="7"/>
        <v xml:space="preserve"> </v>
      </c>
      <c r="AB18" s="1039" t="str">
        <f t="shared" si="8"/>
        <v xml:space="preserve"> </v>
      </c>
      <c r="AC18" s="1038"/>
      <c r="AD18" s="258"/>
      <c r="AE18" s="259"/>
      <c r="AF18" s="259"/>
      <c r="AG18" s="302">
        <f t="shared" si="9"/>
        <v>0</v>
      </c>
      <c r="AH18" s="303">
        <f t="shared" si="10"/>
        <v>0</v>
      </c>
      <c r="AI18" s="837"/>
      <c r="AJ18" s="264">
        <f t="shared" ref="AJ18:AJ24" si="20">1-AI18</f>
        <v>1</v>
      </c>
      <c r="AL18" s="656">
        <f t="shared" si="11"/>
        <v>0</v>
      </c>
      <c r="AM18" s="656">
        <f t="shared" si="12"/>
        <v>0</v>
      </c>
      <c r="AO18" s="656">
        <f t="shared" si="13"/>
        <v>0</v>
      </c>
      <c r="AP18" s="656">
        <f t="shared" si="14"/>
        <v>0</v>
      </c>
      <c r="AR18" s="656">
        <f t="shared" si="15"/>
        <v>0</v>
      </c>
      <c r="AS18" s="656">
        <f t="shared" si="15"/>
        <v>0</v>
      </c>
      <c r="AT18" s="656">
        <f t="shared" ref="AT18:AT25" si="21">AR18+AS18</f>
        <v>0</v>
      </c>
    </row>
    <row r="19" spans="1:46" ht="16.5" customHeight="1" thickTop="1" thickBot="1" x14ac:dyDescent="0.3">
      <c r="A19" s="602"/>
      <c r="B19" s="1370"/>
      <c r="C19" s="226"/>
      <c r="D19" s="1313">
        <f t="shared" si="0"/>
        <v>0</v>
      </c>
      <c r="F19" s="223" t="str">
        <f t="shared" si="1"/>
        <v xml:space="preserve">n/a </v>
      </c>
      <c r="G19" s="227"/>
      <c r="H19" s="1436"/>
      <c r="J19" s="1291"/>
      <c r="K19" s="398">
        <f t="shared" si="16"/>
        <v>0</v>
      </c>
      <c r="L19" s="223">
        <f t="shared" si="2"/>
        <v>0.30499999999999999</v>
      </c>
      <c r="M19" s="398">
        <f t="shared" si="3"/>
        <v>0</v>
      </c>
      <c r="N19" s="513">
        <f t="shared" si="4"/>
        <v>0</v>
      </c>
      <c r="O19" s="25"/>
      <c r="P19" s="25"/>
      <c r="Q19" s="1033">
        <v>12</v>
      </c>
      <c r="R19" s="1087" t="s">
        <v>60</v>
      </c>
      <c r="S19" s="1310">
        <f t="shared" si="5"/>
        <v>1</v>
      </c>
      <c r="T19" s="713"/>
      <c r="U19" s="1034" t="s">
        <v>60</v>
      </c>
      <c r="V19" s="1035" t="str">
        <f t="shared" si="6"/>
        <v xml:space="preserve"> </v>
      </c>
      <c r="W19" s="1036" t="str">
        <f t="shared" si="17"/>
        <v xml:space="preserve"> </v>
      </c>
      <c r="X19" s="1297"/>
      <c r="Y19" s="1307" t="str">
        <f t="shared" si="18"/>
        <v xml:space="preserve"> </v>
      </c>
      <c r="Z19" s="1308">
        <f t="shared" si="19"/>
        <v>0</v>
      </c>
      <c r="AA19" s="254" t="str">
        <f t="shared" si="7"/>
        <v xml:space="preserve"> </v>
      </c>
      <c r="AB19" s="1039" t="str">
        <f t="shared" si="8"/>
        <v xml:space="preserve"> </v>
      </c>
      <c r="AC19" s="1038"/>
      <c r="AD19" s="258"/>
      <c r="AE19" s="259"/>
      <c r="AF19" s="259"/>
      <c r="AG19" s="302">
        <f t="shared" si="9"/>
        <v>0</v>
      </c>
      <c r="AH19" s="303">
        <f t="shared" si="10"/>
        <v>0</v>
      </c>
      <c r="AI19" s="837"/>
      <c r="AJ19" s="264">
        <f t="shared" si="20"/>
        <v>1</v>
      </c>
      <c r="AL19" s="656">
        <f t="shared" si="11"/>
        <v>0</v>
      </c>
      <c r="AM19" s="656">
        <f t="shared" si="12"/>
        <v>0</v>
      </c>
      <c r="AO19" s="656">
        <f t="shared" si="13"/>
        <v>0</v>
      </c>
      <c r="AP19" s="656">
        <f t="shared" si="14"/>
        <v>0</v>
      </c>
      <c r="AR19" s="656">
        <f t="shared" si="15"/>
        <v>0</v>
      </c>
      <c r="AS19" s="656">
        <f t="shared" si="15"/>
        <v>0</v>
      </c>
      <c r="AT19" s="656">
        <f t="shared" si="21"/>
        <v>0</v>
      </c>
    </row>
    <row r="20" spans="1:46" ht="16.5" customHeight="1" thickTop="1" thickBot="1" x14ac:dyDescent="0.3">
      <c r="A20" s="602"/>
      <c r="B20" s="1370"/>
      <c r="C20" s="226"/>
      <c r="D20" s="1313">
        <f t="shared" si="0"/>
        <v>0</v>
      </c>
      <c r="F20" s="223" t="str">
        <f t="shared" si="1"/>
        <v xml:space="preserve">n/a </v>
      </c>
      <c r="G20" s="227"/>
      <c r="H20" s="1436"/>
      <c r="J20" s="1291"/>
      <c r="K20" s="398">
        <f t="shared" si="16"/>
        <v>0</v>
      </c>
      <c r="L20" s="223">
        <f t="shared" si="2"/>
        <v>0.30499999999999999</v>
      </c>
      <c r="M20" s="398">
        <f t="shared" si="3"/>
        <v>0</v>
      </c>
      <c r="N20" s="513">
        <f t="shared" si="4"/>
        <v>0</v>
      </c>
      <c r="O20" s="25"/>
      <c r="P20" s="25"/>
      <c r="Q20" s="1033">
        <v>12</v>
      </c>
      <c r="R20" s="1087" t="s">
        <v>60</v>
      </c>
      <c r="S20" s="1310">
        <f t="shared" si="5"/>
        <v>1</v>
      </c>
      <c r="T20" s="713"/>
      <c r="U20" s="1034" t="s">
        <v>60</v>
      </c>
      <c r="V20" s="1035" t="str">
        <f t="shared" si="6"/>
        <v xml:space="preserve"> </v>
      </c>
      <c r="W20" s="1036" t="str">
        <f t="shared" si="17"/>
        <v xml:space="preserve"> </v>
      </c>
      <c r="X20" s="1297"/>
      <c r="Y20" s="1307" t="str">
        <f t="shared" si="18"/>
        <v xml:space="preserve"> </v>
      </c>
      <c r="Z20" s="1308">
        <f t="shared" si="19"/>
        <v>0</v>
      </c>
      <c r="AA20" s="254" t="str">
        <f t="shared" si="7"/>
        <v xml:space="preserve"> </v>
      </c>
      <c r="AB20" s="1039" t="str">
        <f t="shared" si="8"/>
        <v xml:space="preserve"> </v>
      </c>
      <c r="AC20" s="1038"/>
      <c r="AD20" s="258"/>
      <c r="AE20" s="259"/>
      <c r="AF20" s="259"/>
      <c r="AG20" s="302">
        <f t="shared" si="9"/>
        <v>0</v>
      </c>
      <c r="AH20" s="303">
        <f t="shared" si="10"/>
        <v>0</v>
      </c>
      <c r="AI20" s="837"/>
      <c r="AJ20" s="264">
        <f t="shared" si="20"/>
        <v>1</v>
      </c>
      <c r="AL20" s="656">
        <f t="shared" si="11"/>
        <v>0</v>
      </c>
      <c r="AM20" s="656">
        <f t="shared" si="12"/>
        <v>0</v>
      </c>
      <c r="AO20" s="656">
        <f t="shared" si="13"/>
        <v>0</v>
      </c>
      <c r="AP20" s="656">
        <f t="shared" si="14"/>
        <v>0</v>
      </c>
      <c r="AR20" s="656">
        <f t="shared" si="15"/>
        <v>0</v>
      </c>
      <c r="AS20" s="656">
        <f t="shared" si="15"/>
        <v>0</v>
      </c>
      <c r="AT20" s="656">
        <f t="shared" si="21"/>
        <v>0</v>
      </c>
    </row>
    <row r="21" spans="1:46" ht="16.5" customHeight="1" thickTop="1" thickBot="1" x14ac:dyDescent="0.3">
      <c r="A21" s="602"/>
      <c r="B21" s="1370"/>
      <c r="C21" s="226"/>
      <c r="D21" s="1313">
        <f t="shared" si="0"/>
        <v>0</v>
      </c>
      <c r="F21" s="223" t="str">
        <f t="shared" si="1"/>
        <v xml:space="preserve">n/a </v>
      </c>
      <c r="G21" s="227"/>
      <c r="H21" s="1436"/>
      <c r="J21" s="1291"/>
      <c r="K21" s="398">
        <f t="shared" si="16"/>
        <v>0</v>
      </c>
      <c r="L21" s="223">
        <f t="shared" si="2"/>
        <v>0.30499999999999999</v>
      </c>
      <c r="M21" s="398">
        <f t="shared" si="3"/>
        <v>0</v>
      </c>
      <c r="N21" s="513">
        <f t="shared" si="4"/>
        <v>0</v>
      </c>
      <c r="O21" s="25"/>
      <c r="P21" s="25"/>
      <c r="Q21" s="1033">
        <v>12</v>
      </c>
      <c r="R21" s="1087" t="s">
        <v>60</v>
      </c>
      <c r="S21" s="1310">
        <f t="shared" si="5"/>
        <v>1</v>
      </c>
      <c r="T21" s="713"/>
      <c r="U21" s="1034" t="s">
        <v>60</v>
      </c>
      <c r="V21" s="1035" t="str">
        <f t="shared" si="6"/>
        <v xml:space="preserve"> </v>
      </c>
      <c r="W21" s="1036" t="str">
        <f t="shared" si="17"/>
        <v xml:space="preserve"> </v>
      </c>
      <c r="X21" s="1297"/>
      <c r="Y21" s="1307" t="str">
        <f t="shared" si="18"/>
        <v xml:space="preserve"> </v>
      </c>
      <c r="Z21" s="1308">
        <f t="shared" si="19"/>
        <v>0</v>
      </c>
      <c r="AA21" s="254" t="str">
        <f t="shared" si="7"/>
        <v xml:space="preserve"> </v>
      </c>
      <c r="AB21" s="1039" t="str">
        <f t="shared" si="8"/>
        <v xml:space="preserve"> </v>
      </c>
      <c r="AC21" s="1038"/>
      <c r="AD21" s="258"/>
      <c r="AE21" s="259"/>
      <c r="AF21" s="259"/>
      <c r="AG21" s="302">
        <f t="shared" si="9"/>
        <v>0</v>
      </c>
      <c r="AH21" s="303">
        <f t="shared" si="10"/>
        <v>0</v>
      </c>
      <c r="AI21" s="837"/>
      <c r="AJ21" s="264">
        <f t="shared" si="20"/>
        <v>1</v>
      </c>
      <c r="AL21" s="656">
        <f t="shared" si="11"/>
        <v>0</v>
      </c>
      <c r="AM21" s="656">
        <f t="shared" si="12"/>
        <v>0</v>
      </c>
      <c r="AO21" s="656">
        <f t="shared" si="13"/>
        <v>0</v>
      </c>
      <c r="AP21" s="656">
        <f t="shared" si="14"/>
        <v>0</v>
      </c>
      <c r="AR21" s="656">
        <f t="shared" si="15"/>
        <v>0</v>
      </c>
      <c r="AS21" s="656">
        <f t="shared" si="15"/>
        <v>0</v>
      </c>
      <c r="AT21" s="656">
        <f t="shared" si="21"/>
        <v>0</v>
      </c>
    </row>
    <row r="22" spans="1:46" ht="16.5" customHeight="1" thickTop="1" thickBot="1" x14ac:dyDescent="0.3">
      <c r="A22" s="602"/>
      <c r="B22" s="1370"/>
      <c r="C22" s="226"/>
      <c r="D22" s="1313">
        <f t="shared" si="0"/>
        <v>0</v>
      </c>
      <c r="F22" s="223" t="str">
        <f t="shared" si="1"/>
        <v xml:space="preserve">n/a </v>
      </c>
      <c r="G22" s="227"/>
      <c r="H22" s="1436"/>
      <c r="J22" s="1291"/>
      <c r="K22" s="398">
        <f t="shared" si="16"/>
        <v>0</v>
      </c>
      <c r="L22" s="223">
        <f t="shared" si="2"/>
        <v>0.30499999999999999</v>
      </c>
      <c r="M22" s="398">
        <f t="shared" si="3"/>
        <v>0</v>
      </c>
      <c r="N22" s="513">
        <f t="shared" si="4"/>
        <v>0</v>
      </c>
      <c r="O22" s="25"/>
      <c r="P22" s="25"/>
      <c r="Q22" s="1033">
        <v>12</v>
      </c>
      <c r="R22" s="1087" t="s">
        <v>60</v>
      </c>
      <c r="S22" s="1310">
        <f t="shared" si="5"/>
        <v>1</v>
      </c>
      <c r="T22" s="713"/>
      <c r="U22" s="1034" t="s">
        <v>60</v>
      </c>
      <c r="V22" s="1035" t="str">
        <f t="shared" si="6"/>
        <v xml:space="preserve"> </v>
      </c>
      <c r="W22" s="1036" t="str">
        <f t="shared" si="17"/>
        <v xml:space="preserve"> </v>
      </c>
      <c r="X22" s="1297"/>
      <c r="Y22" s="1307" t="str">
        <f t="shared" si="18"/>
        <v xml:space="preserve"> </v>
      </c>
      <c r="Z22" s="1308">
        <f t="shared" si="19"/>
        <v>0</v>
      </c>
      <c r="AA22" s="254" t="str">
        <f t="shared" si="7"/>
        <v xml:space="preserve"> </v>
      </c>
      <c r="AB22" s="1039" t="str">
        <f t="shared" si="8"/>
        <v xml:space="preserve"> </v>
      </c>
      <c r="AC22" s="1038"/>
      <c r="AD22" s="258"/>
      <c r="AE22" s="259"/>
      <c r="AF22" s="259"/>
      <c r="AG22" s="302">
        <f t="shared" si="9"/>
        <v>0</v>
      </c>
      <c r="AH22" s="303">
        <f t="shared" si="10"/>
        <v>0</v>
      </c>
      <c r="AI22" s="837"/>
      <c r="AJ22" s="264">
        <f t="shared" si="20"/>
        <v>1</v>
      </c>
      <c r="AL22" s="656">
        <f t="shared" si="11"/>
        <v>0</v>
      </c>
      <c r="AM22" s="656">
        <f t="shared" si="12"/>
        <v>0</v>
      </c>
      <c r="AO22" s="656">
        <f t="shared" si="13"/>
        <v>0</v>
      </c>
      <c r="AP22" s="656">
        <f t="shared" si="14"/>
        <v>0</v>
      </c>
      <c r="AR22" s="656">
        <f t="shared" si="15"/>
        <v>0</v>
      </c>
      <c r="AS22" s="656">
        <f t="shared" si="15"/>
        <v>0</v>
      </c>
      <c r="AT22" s="656">
        <f t="shared" si="21"/>
        <v>0</v>
      </c>
    </row>
    <row r="23" spans="1:46" ht="16.5" customHeight="1" thickTop="1" thickBot="1" x14ac:dyDescent="0.3">
      <c r="A23" s="602"/>
      <c r="B23" s="1370"/>
      <c r="C23" s="226"/>
      <c r="D23" s="1313">
        <f t="shared" si="0"/>
        <v>0</v>
      </c>
      <c r="F23" s="223" t="str">
        <f t="shared" si="1"/>
        <v xml:space="preserve">n/a </v>
      </c>
      <c r="G23" s="227"/>
      <c r="H23" s="1436"/>
      <c r="J23" s="1291"/>
      <c r="K23" s="398">
        <f t="shared" si="16"/>
        <v>0</v>
      </c>
      <c r="L23" s="223">
        <f t="shared" si="2"/>
        <v>0.30499999999999999</v>
      </c>
      <c r="M23" s="398">
        <f t="shared" si="3"/>
        <v>0</v>
      </c>
      <c r="N23" s="513">
        <f t="shared" si="4"/>
        <v>0</v>
      </c>
      <c r="O23" s="25"/>
      <c r="P23" s="25"/>
      <c r="Q23" s="1033">
        <v>12</v>
      </c>
      <c r="R23" s="1087" t="s">
        <v>60</v>
      </c>
      <c r="S23" s="1310">
        <f t="shared" si="5"/>
        <v>1</v>
      </c>
      <c r="T23" s="713"/>
      <c r="U23" s="1034" t="s">
        <v>60</v>
      </c>
      <c r="V23" s="1035" t="str">
        <f t="shared" si="6"/>
        <v xml:space="preserve"> </v>
      </c>
      <c r="W23" s="1036" t="str">
        <f t="shared" si="17"/>
        <v xml:space="preserve"> </v>
      </c>
      <c r="X23" s="1297"/>
      <c r="Y23" s="1307" t="str">
        <f t="shared" si="18"/>
        <v xml:space="preserve"> </v>
      </c>
      <c r="Z23" s="1308">
        <f t="shared" si="19"/>
        <v>0</v>
      </c>
      <c r="AA23" s="254" t="str">
        <f t="shared" si="7"/>
        <v xml:space="preserve"> </v>
      </c>
      <c r="AB23" s="1039" t="str">
        <f t="shared" si="8"/>
        <v xml:space="preserve"> </v>
      </c>
      <c r="AC23" s="1038"/>
      <c r="AD23" s="258"/>
      <c r="AE23" s="259"/>
      <c r="AF23" s="259"/>
      <c r="AG23" s="302">
        <f t="shared" si="9"/>
        <v>0</v>
      </c>
      <c r="AH23" s="303">
        <f t="shared" si="10"/>
        <v>0</v>
      </c>
      <c r="AI23" s="837"/>
      <c r="AJ23" s="264">
        <f t="shared" si="20"/>
        <v>1</v>
      </c>
      <c r="AL23" s="656">
        <f t="shared" si="11"/>
        <v>0</v>
      </c>
      <c r="AM23" s="656">
        <f t="shared" si="12"/>
        <v>0</v>
      </c>
      <c r="AO23" s="656">
        <f t="shared" si="13"/>
        <v>0</v>
      </c>
      <c r="AP23" s="656">
        <f t="shared" si="14"/>
        <v>0</v>
      </c>
      <c r="AR23" s="656">
        <f t="shared" si="15"/>
        <v>0</v>
      </c>
      <c r="AS23" s="656">
        <f t="shared" si="15"/>
        <v>0</v>
      </c>
      <c r="AT23" s="656">
        <f t="shared" si="21"/>
        <v>0</v>
      </c>
    </row>
    <row r="24" spans="1:46" ht="16.5" customHeight="1" thickTop="1" x14ac:dyDescent="0.25">
      <c r="A24" s="602"/>
      <c r="B24" s="1370"/>
      <c r="C24" s="226"/>
      <c r="D24" s="1314">
        <f t="shared" si="0"/>
        <v>0</v>
      </c>
      <c r="F24" s="223" t="str">
        <f t="shared" si="1"/>
        <v xml:space="preserve">n/a </v>
      </c>
      <c r="G24" s="227"/>
      <c r="H24" s="1436"/>
      <c r="J24" s="1292"/>
      <c r="K24" s="398">
        <f t="shared" si="16"/>
        <v>0</v>
      </c>
      <c r="L24" s="223">
        <f t="shared" si="2"/>
        <v>0.30499999999999999</v>
      </c>
      <c r="M24" s="398">
        <f t="shared" si="3"/>
        <v>0</v>
      </c>
      <c r="N24" s="513">
        <f t="shared" si="4"/>
        <v>0</v>
      </c>
      <c r="O24" s="25"/>
      <c r="P24" s="25"/>
      <c r="Q24" s="1040">
        <v>12</v>
      </c>
      <c r="R24" s="1088" t="s">
        <v>60</v>
      </c>
      <c r="S24" s="1311">
        <f t="shared" si="5"/>
        <v>1</v>
      </c>
      <c r="T24" s="713"/>
      <c r="U24" s="1041" t="s">
        <v>60</v>
      </c>
      <c r="V24" s="1042" t="str">
        <f t="shared" si="6"/>
        <v xml:space="preserve"> </v>
      </c>
      <c r="W24" s="1043" t="str">
        <f t="shared" si="17"/>
        <v xml:space="preserve"> </v>
      </c>
      <c r="X24" s="1297"/>
      <c r="Y24" s="1307" t="str">
        <f t="shared" si="18"/>
        <v xml:space="preserve"> </v>
      </c>
      <c r="Z24" s="1308">
        <f t="shared" si="19"/>
        <v>0</v>
      </c>
      <c r="AA24" s="257" t="str">
        <f t="shared" si="7"/>
        <v xml:space="preserve"> </v>
      </c>
      <c r="AB24" s="1039" t="str">
        <f t="shared" si="8"/>
        <v xml:space="preserve"> </v>
      </c>
      <c r="AC24" s="1038"/>
      <c r="AD24" s="258"/>
      <c r="AE24" s="259"/>
      <c r="AF24" s="259"/>
      <c r="AG24" s="302">
        <f t="shared" si="9"/>
        <v>0</v>
      </c>
      <c r="AH24" s="303">
        <f t="shared" si="10"/>
        <v>0</v>
      </c>
      <c r="AI24" s="837"/>
      <c r="AJ24" s="264">
        <f t="shared" si="20"/>
        <v>1</v>
      </c>
      <c r="AL24" s="656">
        <f t="shared" si="11"/>
        <v>0</v>
      </c>
      <c r="AM24" s="656">
        <f t="shared" si="12"/>
        <v>0</v>
      </c>
      <c r="AO24" s="656">
        <f t="shared" si="13"/>
        <v>0</v>
      </c>
      <c r="AP24" s="656">
        <f t="shared" si="14"/>
        <v>0</v>
      </c>
      <c r="AR24" s="656">
        <f t="shared" si="15"/>
        <v>0</v>
      </c>
      <c r="AS24" s="656">
        <f t="shared" si="15"/>
        <v>0</v>
      </c>
      <c r="AT24" s="656">
        <f t="shared" si="21"/>
        <v>0</v>
      </c>
    </row>
    <row r="25" spans="1:46" ht="14.4" x14ac:dyDescent="0.25">
      <c r="A25" s="293"/>
      <c r="B25" s="293"/>
      <c r="C25" s="294"/>
      <c r="D25" s="294"/>
      <c r="E25" s="295"/>
      <c r="F25" s="295"/>
      <c r="G25" s="295"/>
      <c r="H25" s="1204"/>
      <c r="I25" s="1204" t="s">
        <v>222</v>
      </c>
      <c r="J25" s="1204"/>
      <c r="K25" s="297">
        <v>0</v>
      </c>
      <c r="L25" s="297"/>
      <c r="M25" s="297">
        <v>0</v>
      </c>
      <c r="N25" s="117">
        <f>K25+M25</f>
        <v>0</v>
      </c>
      <c r="O25" s="25"/>
      <c r="P25" s="25"/>
      <c r="Q25" s="1044"/>
      <c r="R25" s="1061"/>
      <c r="S25" s="1061"/>
      <c r="T25" s="713"/>
      <c r="U25" s="713"/>
      <c r="V25" s="713"/>
      <c r="W25" s="713"/>
      <c r="X25" s="713"/>
      <c r="Y25" s="713"/>
      <c r="Z25" s="713"/>
      <c r="AA25" s="713"/>
      <c r="AB25" s="713"/>
      <c r="AC25" s="732"/>
      <c r="AD25" s="260"/>
      <c r="AE25" s="261"/>
      <c r="AF25" s="259"/>
      <c r="AG25" s="262"/>
      <c r="AH25" s="263">
        <v>0</v>
      </c>
      <c r="AI25" s="263">
        <v>0</v>
      </c>
      <c r="AJ25" s="273"/>
      <c r="AL25" s="297" t="s">
        <v>138</v>
      </c>
      <c r="AM25" s="297" t="s">
        <v>138</v>
      </c>
      <c r="AO25" s="297" t="s">
        <v>138</v>
      </c>
      <c r="AP25" s="297" t="s">
        <v>138</v>
      </c>
      <c r="AR25" s="297">
        <v>0</v>
      </c>
      <c r="AS25" s="297">
        <v>0</v>
      </c>
      <c r="AT25" s="420">
        <f t="shared" si="21"/>
        <v>0</v>
      </c>
    </row>
    <row r="26" spans="1:46" ht="16.5" customHeight="1" thickBot="1" x14ac:dyDescent="0.3">
      <c r="A26" s="1221" t="s">
        <v>9</v>
      </c>
      <c r="B26" s="1367"/>
      <c r="C26" s="1163"/>
      <c r="D26" s="1163"/>
      <c r="E26" s="421"/>
      <c r="F26" s="421"/>
      <c r="G26" s="421"/>
      <c r="H26" s="421"/>
      <c r="I26" s="421"/>
      <c r="J26" s="421"/>
      <c r="K26" s="1164">
        <f>SUM(K17:K25)</f>
        <v>0</v>
      </c>
      <c r="L26" s="1165"/>
      <c r="M26" s="1166">
        <f>SUM(M17:M25)</f>
        <v>0</v>
      </c>
      <c r="N26" s="299">
        <f>SUM(N17:N25)</f>
        <v>0</v>
      </c>
      <c r="O26" s="175"/>
      <c r="P26" s="175"/>
      <c r="Q26" s="713"/>
      <c r="R26" s="1077"/>
      <c r="S26" s="1077"/>
      <c r="T26" s="713"/>
      <c r="U26" s="713"/>
      <c r="V26" s="713"/>
      <c r="W26" s="713"/>
      <c r="X26" s="713"/>
      <c r="Y26" s="713"/>
      <c r="Z26" s="713"/>
      <c r="AA26" s="713"/>
      <c r="AB26" s="713"/>
      <c r="AC26" s="732"/>
      <c r="AD26" s="271"/>
      <c r="AE26" s="272"/>
      <c r="AF26" s="272"/>
      <c r="AG26" s="262"/>
      <c r="AH26" s="262"/>
      <c r="AI26" s="272"/>
      <c r="AJ26" s="273"/>
      <c r="AL26" s="706">
        <f>SUM(AL17:AL25)</f>
        <v>0</v>
      </c>
      <c r="AM26" s="706">
        <f>SUM(AM17:AM25)</f>
        <v>0</v>
      </c>
      <c r="AO26" s="706">
        <f>SUM(AO17:AO25)</f>
        <v>0</v>
      </c>
      <c r="AP26" s="706">
        <f>SUM(AP17:AP25)</f>
        <v>0</v>
      </c>
      <c r="AR26" s="656">
        <f>SUM(AR17:AR25)</f>
        <v>0</v>
      </c>
      <c r="AS26" s="656">
        <f>SUM(AS17:AS25)</f>
        <v>0</v>
      </c>
      <c r="AT26" s="706">
        <f>SUM(AT17:AT25)</f>
        <v>0</v>
      </c>
    </row>
    <row r="27" spans="1:46" ht="16.5" customHeight="1" x14ac:dyDescent="0.25">
      <c r="A27" s="1187" t="s">
        <v>120</v>
      </c>
      <c r="B27" s="1187"/>
      <c r="C27" s="226"/>
      <c r="D27" s="226"/>
      <c r="E27" s="301"/>
      <c r="F27" s="301"/>
      <c r="G27" s="301"/>
      <c r="H27" s="301"/>
      <c r="I27" s="301"/>
      <c r="J27" s="301"/>
      <c r="K27" s="301"/>
      <c r="L27" s="301"/>
      <c r="M27" s="301"/>
      <c r="N27" s="338"/>
      <c r="O27" s="180"/>
      <c r="P27" s="180"/>
      <c r="Q27" s="713"/>
      <c r="R27" s="1077"/>
      <c r="S27" s="1077"/>
      <c r="T27" s="713"/>
      <c r="U27" s="713"/>
      <c r="V27" s="713"/>
      <c r="W27" s="713"/>
      <c r="X27" s="713"/>
      <c r="Y27" s="713"/>
      <c r="Z27" s="713"/>
      <c r="AA27" s="713"/>
      <c r="AB27" s="713"/>
      <c r="AC27" s="732"/>
      <c r="AD27" s="271"/>
      <c r="AE27" s="272"/>
      <c r="AF27" s="272"/>
      <c r="AG27" s="262"/>
      <c r="AH27" s="262"/>
      <c r="AI27" s="272"/>
      <c r="AJ27" s="273"/>
      <c r="AR27" s="708"/>
      <c r="AS27" s="706"/>
    </row>
    <row r="28" spans="1:46" ht="16.5" customHeight="1" x14ac:dyDescent="0.25">
      <c r="A28" s="1144"/>
      <c r="B28" s="1370"/>
      <c r="C28" s="342"/>
      <c r="D28" s="342"/>
      <c r="E28" s="1061"/>
      <c r="F28" s="1061"/>
      <c r="G28" s="1061"/>
      <c r="H28" s="227"/>
      <c r="I28" s="1270"/>
      <c r="J28" s="261"/>
      <c r="K28" s="301"/>
      <c r="L28" s="301"/>
      <c r="M28" s="301"/>
      <c r="N28" s="227"/>
      <c r="O28" s="181"/>
      <c r="P28" s="181"/>
      <c r="Q28" s="713"/>
      <c r="R28" s="1077"/>
      <c r="S28" s="1077"/>
      <c r="T28" s="713"/>
      <c r="U28" s="713"/>
      <c r="V28" s="713"/>
      <c r="W28" s="713"/>
      <c r="X28" s="713"/>
      <c r="Y28" s="713"/>
      <c r="Z28" s="713"/>
      <c r="AA28" s="713"/>
      <c r="AB28" s="713"/>
      <c r="AC28" s="732"/>
      <c r="AD28" s="271"/>
      <c r="AE28" s="272"/>
      <c r="AF28" s="272"/>
      <c r="AG28" s="262"/>
      <c r="AH28" s="262"/>
      <c r="AI28" s="272"/>
      <c r="AJ28" s="273"/>
    </row>
    <row r="29" spans="1:46" ht="16.5" customHeight="1" x14ac:dyDescent="0.25">
      <c r="A29" s="602"/>
      <c r="B29" s="1370"/>
      <c r="C29" s="226"/>
      <c r="D29" s="226"/>
      <c r="E29" s="301"/>
      <c r="F29" s="301"/>
      <c r="G29" s="301"/>
      <c r="H29" s="227"/>
      <c r="I29" s="1270"/>
      <c r="J29" s="261"/>
      <c r="K29" s="301"/>
      <c r="L29" s="301"/>
      <c r="M29" s="301"/>
      <c r="N29" s="227"/>
      <c r="O29" s="25"/>
      <c r="P29" s="25"/>
      <c r="Q29" s="713"/>
      <c r="R29" s="1077"/>
      <c r="S29" s="1077"/>
      <c r="T29" s="713"/>
      <c r="U29" s="713"/>
      <c r="V29" s="713"/>
      <c r="W29" s="713"/>
      <c r="X29" s="713"/>
      <c r="Y29" s="713"/>
      <c r="Z29" s="713"/>
      <c r="AA29" s="713"/>
      <c r="AB29" s="713"/>
      <c r="AC29" s="732"/>
      <c r="AD29" s="271"/>
      <c r="AE29" s="272"/>
      <c r="AF29" s="272"/>
      <c r="AG29" s="262"/>
      <c r="AH29" s="262"/>
      <c r="AI29" s="272"/>
      <c r="AJ29" s="273"/>
    </row>
    <row r="30" spans="1:46" ht="16.5" customHeight="1" x14ac:dyDescent="0.25">
      <c r="A30" s="602"/>
      <c r="B30" s="1370"/>
      <c r="C30" s="226"/>
      <c r="D30" s="226"/>
      <c r="E30" s="301"/>
      <c r="F30" s="301"/>
      <c r="G30" s="301"/>
      <c r="H30" s="227"/>
      <c r="I30" s="1270"/>
      <c r="J30" s="261"/>
      <c r="K30" s="301"/>
      <c r="L30" s="301"/>
      <c r="M30" s="301"/>
      <c r="N30" s="339"/>
      <c r="O30" s="25"/>
      <c r="P30" s="25"/>
      <c r="Q30" s="713"/>
      <c r="R30" s="1077"/>
      <c r="S30" s="1077"/>
      <c r="T30" s="713"/>
      <c r="U30" s="713"/>
      <c r="V30" s="713"/>
      <c r="W30" s="713"/>
      <c r="X30" s="713"/>
      <c r="Y30" s="713"/>
      <c r="Z30" s="713"/>
      <c r="AA30" s="713"/>
      <c r="AB30" s="713"/>
      <c r="AC30" s="732"/>
      <c r="AD30" s="271"/>
      <c r="AE30" s="272"/>
      <c r="AF30" s="272"/>
      <c r="AG30" s="262"/>
      <c r="AH30" s="262"/>
      <c r="AI30" s="272"/>
      <c r="AJ30" s="273"/>
    </row>
    <row r="31" spans="1:46" ht="16.5" customHeight="1" thickBot="1" x14ac:dyDescent="0.35">
      <c r="A31" s="1216" t="s">
        <v>121</v>
      </c>
      <c r="B31" s="1216"/>
      <c r="C31" s="1161"/>
      <c r="D31" s="1161"/>
      <c r="E31" s="1161"/>
      <c r="F31" s="1161"/>
      <c r="G31" s="1161"/>
      <c r="H31" s="1161"/>
      <c r="I31" s="1161"/>
      <c r="J31" s="1161"/>
      <c r="K31" s="1161"/>
      <c r="L31" s="1161"/>
      <c r="M31" s="1167"/>
      <c r="N31" s="299">
        <f>SUM(H28:H30)+SUM(N28:N30)</f>
        <v>0</v>
      </c>
      <c r="O31" s="175"/>
      <c r="P31" s="175"/>
      <c r="Q31" s="1045" t="s">
        <v>45</v>
      </c>
      <c r="R31" s="1082"/>
      <c r="S31" s="1077"/>
      <c r="T31" s="713"/>
      <c r="U31" s="713"/>
      <c r="V31" s="713"/>
      <c r="W31" s="713"/>
      <c r="X31" s="713"/>
      <c r="Y31" s="713"/>
      <c r="Z31" s="713"/>
      <c r="AA31" s="713"/>
      <c r="AB31" s="713"/>
      <c r="AC31" s="732"/>
      <c r="AD31" s="274" t="s">
        <v>168</v>
      </c>
      <c r="AE31" s="272" t="s">
        <v>203</v>
      </c>
      <c r="AF31" s="272" t="s">
        <v>204</v>
      </c>
      <c r="AG31" s="262"/>
      <c r="AH31" s="275" t="s">
        <v>168</v>
      </c>
      <c r="AI31" s="272" t="s">
        <v>203</v>
      </c>
      <c r="AJ31" s="273" t="s">
        <v>204</v>
      </c>
      <c r="AL31" s="275" t="s">
        <v>168</v>
      </c>
    </row>
    <row r="32" spans="1:46" ht="16.5" customHeight="1" x14ac:dyDescent="0.25">
      <c r="A32" s="1187" t="s">
        <v>13</v>
      </c>
      <c r="B32" s="1187"/>
      <c r="C32" s="226"/>
      <c r="D32" s="226"/>
      <c r="E32" s="301"/>
      <c r="F32" s="340"/>
      <c r="G32" s="340"/>
      <c r="H32" s="301"/>
      <c r="I32" s="261"/>
      <c r="J32" s="261"/>
      <c r="K32" s="301"/>
      <c r="L32" s="301"/>
      <c r="M32" s="301"/>
      <c r="N32" s="338"/>
      <c r="O32" s="180"/>
      <c r="P32" s="180"/>
      <c r="Q32" s="713"/>
      <c r="R32" s="1077"/>
      <c r="S32" s="1077"/>
      <c r="T32" s="713"/>
      <c r="U32" s="713"/>
      <c r="V32" s="713"/>
      <c r="W32" s="713"/>
      <c r="X32" s="713"/>
      <c r="Y32" s="713"/>
      <c r="Z32" s="713"/>
      <c r="AA32" s="713"/>
      <c r="AB32" s="713"/>
      <c r="AC32" s="732"/>
      <c r="AD32" s="274" t="s">
        <v>167</v>
      </c>
      <c r="AE32" s="278" t="s">
        <v>136</v>
      </c>
      <c r="AF32" s="278" t="s">
        <v>137</v>
      </c>
      <c r="AG32" s="262"/>
      <c r="AH32" s="275" t="s">
        <v>167</v>
      </c>
      <c r="AI32" s="278" t="s">
        <v>136</v>
      </c>
      <c r="AJ32" s="279" t="s">
        <v>137</v>
      </c>
      <c r="AL32" s="275"/>
    </row>
    <row r="33" spans="1:46" ht="16.5" customHeight="1" x14ac:dyDescent="0.25">
      <c r="A33" s="1144"/>
      <c r="B33" s="1370"/>
      <c r="C33" s="341"/>
      <c r="D33" s="341"/>
      <c r="E33" s="1061"/>
      <c r="F33" s="1061"/>
      <c r="G33" s="1061"/>
      <c r="H33" s="227"/>
      <c r="I33" s="1270"/>
      <c r="J33" s="261"/>
      <c r="K33" s="301"/>
      <c r="L33" s="301"/>
      <c r="M33" s="301"/>
      <c r="N33" s="227"/>
      <c r="O33" s="181"/>
      <c r="P33" s="181"/>
      <c r="Q33" s="713"/>
      <c r="R33" s="1077"/>
      <c r="S33" s="1077"/>
      <c r="T33" s="713"/>
      <c r="U33" s="713"/>
      <c r="V33" s="713"/>
      <c r="W33" s="713"/>
      <c r="X33" s="713"/>
      <c r="Y33" s="713"/>
      <c r="Z33" s="713"/>
      <c r="AA33" s="713"/>
      <c r="AB33" s="713"/>
      <c r="AC33" s="713"/>
      <c r="AD33" s="1463" t="s">
        <v>159</v>
      </c>
      <c r="AE33" s="1464"/>
      <c r="AF33" s="1464"/>
      <c r="AG33" s="262"/>
      <c r="AH33" s="1465" t="s">
        <v>160</v>
      </c>
      <c r="AI33" s="1465"/>
      <c r="AJ33" s="1466"/>
      <c r="AL33" s="1464" t="s">
        <v>159</v>
      </c>
      <c r="AM33" s="1464"/>
      <c r="AO33" s="1466" t="s">
        <v>160</v>
      </c>
      <c r="AP33" s="1466"/>
      <c r="AR33" s="1506" t="s">
        <v>161</v>
      </c>
      <c r="AS33" s="1506"/>
      <c r="AT33" s="1506"/>
    </row>
    <row r="34" spans="1:46" ht="16.5" customHeight="1" x14ac:dyDescent="0.25">
      <c r="A34" s="602"/>
      <c r="B34" s="1370"/>
      <c r="C34" s="226"/>
      <c r="D34" s="226"/>
      <c r="E34" s="301"/>
      <c r="F34" s="230"/>
      <c r="G34" s="866"/>
      <c r="H34" s="227"/>
      <c r="I34" s="1270"/>
      <c r="J34" s="261"/>
      <c r="K34" s="301"/>
      <c r="L34" s="301"/>
      <c r="M34" s="301"/>
      <c r="N34" s="227"/>
      <c r="O34" s="25"/>
      <c r="P34" s="25"/>
      <c r="Q34" s="713"/>
      <c r="R34" s="1077"/>
      <c r="S34" s="1077"/>
      <c r="T34" s="713"/>
      <c r="U34" s="713"/>
      <c r="V34" s="713"/>
      <c r="W34" s="713"/>
      <c r="X34" s="713"/>
      <c r="Y34" s="713"/>
      <c r="Z34" s="713"/>
      <c r="AA34" s="713"/>
      <c r="AB34" s="713"/>
      <c r="AC34" s="713"/>
      <c r="AD34" s="643">
        <f>H34</f>
        <v>0</v>
      </c>
      <c r="AE34" s="837"/>
      <c r="AF34" s="495">
        <f>1-AE34</f>
        <v>1</v>
      </c>
      <c r="AG34" s="493"/>
      <c r="AH34" s="644">
        <f>N34</f>
        <v>0</v>
      </c>
      <c r="AI34" s="837"/>
      <c r="AJ34" s="264">
        <f>1-AI34</f>
        <v>1</v>
      </c>
      <c r="AL34" s="656">
        <f>H34*AE34</f>
        <v>0</v>
      </c>
      <c r="AM34" s="656">
        <f>H34*AF34</f>
        <v>0</v>
      </c>
      <c r="AO34" s="656">
        <f>N34*AI34</f>
        <v>0</v>
      </c>
      <c r="AP34" s="656">
        <f>N34*AJ34</f>
        <v>0</v>
      </c>
      <c r="AR34" s="656">
        <f>AL34+AO34</f>
        <v>0</v>
      </c>
      <c r="AS34" s="656">
        <f>AM34+AP34</f>
        <v>0</v>
      </c>
      <c r="AT34" s="656">
        <f>SUM(AR34:AS34)</f>
        <v>0</v>
      </c>
    </row>
    <row r="35" spans="1:46" ht="16.5" customHeight="1" x14ac:dyDescent="0.25">
      <c r="A35" s="602"/>
      <c r="B35" s="1370"/>
      <c r="C35" s="226"/>
      <c r="D35" s="226"/>
      <c r="E35" s="301"/>
      <c r="F35" s="230"/>
      <c r="G35" s="866"/>
      <c r="H35" s="227"/>
      <c r="I35" s="1270"/>
      <c r="J35" s="261"/>
      <c r="K35" s="301"/>
      <c r="L35" s="1206"/>
      <c r="M35" s="1204" t="s">
        <v>223</v>
      </c>
      <c r="N35" s="382">
        <v>0</v>
      </c>
      <c r="O35" s="25"/>
      <c r="P35" s="25"/>
      <c r="Q35" s="713"/>
      <c r="R35" s="1077"/>
      <c r="S35" s="1077"/>
      <c r="T35" s="713"/>
      <c r="U35" s="713"/>
      <c r="V35" s="713"/>
      <c r="W35" s="713"/>
      <c r="X35" s="713"/>
      <c r="Y35" s="713"/>
      <c r="Z35" s="713"/>
      <c r="AA35" s="713"/>
      <c r="AB35" s="713"/>
      <c r="AC35" s="713"/>
      <c r="AD35" s="643">
        <f>H35</f>
        <v>0</v>
      </c>
      <c r="AE35" s="837"/>
      <c r="AF35" s="495">
        <f>1-AE35</f>
        <v>1</v>
      </c>
      <c r="AG35" s="493"/>
      <c r="AH35" s="263">
        <v>0</v>
      </c>
      <c r="AI35" s="263">
        <v>0</v>
      </c>
      <c r="AJ35" s="273"/>
      <c r="AL35" s="420">
        <f>H35*AE35</f>
        <v>0</v>
      </c>
      <c r="AM35" s="420">
        <f>H35*AF35</f>
        <v>0</v>
      </c>
      <c r="AN35" s="262"/>
      <c r="AO35" s="297">
        <v>0</v>
      </c>
      <c r="AP35" s="297">
        <v>0</v>
      </c>
      <c r="AR35" s="420">
        <f>AL35+AO35</f>
        <v>0</v>
      </c>
      <c r="AS35" s="420">
        <f>AM35+AP35</f>
        <v>0</v>
      </c>
      <c r="AT35" s="420">
        <f t="shared" ref="AT35:AT36" si="22">SUM(AR35:AS35)</f>
        <v>0</v>
      </c>
    </row>
    <row r="36" spans="1:46" ht="16.5" customHeight="1" thickBot="1" x14ac:dyDescent="0.3">
      <c r="A36" s="1216" t="s">
        <v>14</v>
      </c>
      <c r="B36" s="1216"/>
      <c r="C36" s="1161"/>
      <c r="D36" s="1161"/>
      <c r="E36" s="1161"/>
      <c r="F36" s="1161"/>
      <c r="G36" s="1161"/>
      <c r="H36" s="1161"/>
      <c r="I36" s="1161"/>
      <c r="J36" s="1161"/>
      <c r="K36" s="1161"/>
      <c r="L36" s="1161"/>
      <c r="M36" s="1167"/>
      <c r="N36" s="383">
        <f>SUM(H33:H35)+SUM(N33:N35)</f>
        <v>0</v>
      </c>
      <c r="O36" s="174"/>
      <c r="P36" s="174"/>
      <c r="Q36" s="713"/>
      <c r="R36" s="1077"/>
      <c r="S36" s="1077"/>
      <c r="T36" s="713"/>
      <c r="U36" s="713"/>
      <c r="V36" s="713"/>
      <c r="W36" s="713"/>
      <c r="X36" s="713"/>
      <c r="Y36" s="713"/>
      <c r="Z36" s="713"/>
      <c r="AA36" s="713"/>
      <c r="AB36" s="713"/>
      <c r="AC36" s="713"/>
      <c r="AD36" s="492"/>
      <c r="AE36" s="272"/>
      <c r="AF36" s="272"/>
      <c r="AG36" s="493"/>
      <c r="AH36" s="493"/>
      <c r="AI36" s="272"/>
      <c r="AJ36" s="273"/>
      <c r="AL36" s="656">
        <f>SUM(AL34:AL35)</f>
        <v>0</v>
      </c>
      <c r="AM36" s="656">
        <f t="shared" ref="AM36:AP36" si="23">SUM(AM34:AM35)</f>
        <v>0</v>
      </c>
      <c r="AN36" s="656"/>
      <c r="AO36" s="656">
        <f t="shared" si="23"/>
        <v>0</v>
      </c>
      <c r="AP36" s="656">
        <f t="shared" si="23"/>
        <v>0</v>
      </c>
      <c r="AR36" s="656">
        <f>SUM(AR34:AR35)</f>
        <v>0</v>
      </c>
      <c r="AS36" s="656">
        <f>SUM(AS34:AS35)</f>
        <v>0</v>
      </c>
      <c r="AT36" s="706">
        <f t="shared" si="22"/>
        <v>0</v>
      </c>
    </row>
    <row r="37" spans="1:46" ht="16.5" customHeight="1" x14ac:dyDescent="0.25">
      <c r="A37" s="1194" t="s">
        <v>10</v>
      </c>
      <c r="B37" s="1194"/>
      <c r="C37" s="226"/>
      <c r="D37" s="226"/>
      <c r="E37" s="301"/>
      <c r="F37" s="301"/>
      <c r="G37" s="301"/>
      <c r="H37" s="301"/>
      <c r="I37" s="261"/>
      <c r="J37" s="261"/>
      <c r="K37" s="301"/>
      <c r="L37" s="301"/>
      <c r="M37" s="301"/>
      <c r="N37" s="338"/>
      <c r="O37" s="180"/>
      <c r="P37" s="180"/>
      <c r="Q37" s="713"/>
      <c r="R37" s="1077"/>
      <c r="S37" s="1077"/>
      <c r="T37" s="713"/>
      <c r="U37" s="713"/>
      <c r="V37" s="713"/>
      <c r="W37" s="713"/>
      <c r="X37" s="713"/>
      <c r="Y37" s="713"/>
      <c r="Z37" s="713"/>
      <c r="AA37" s="713"/>
      <c r="AB37" s="713"/>
      <c r="AC37" s="713"/>
      <c r="AD37" s="494" t="s">
        <v>169</v>
      </c>
      <c r="AE37" s="272" t="s">
        <v>203</v>
      </c>
      <c r="AF37" s="272" t="s">
        <v>204</v>
      </c>
      <c r="AG37" s="493"/>
      <c r="AH37" s="236" t="s">
        <v>169</v>
      </c>
      <c r="AI37" s="272" t="s">
        <v>203</v>
      </c>
      <c r="AJ37" s="273" t="s">
        <v>204</v>
      </c>
      <c r="AL37" s="236" t="s">
        <v>169</v>
      </c>
      <c r="AR37" s="708"/>
      <c r="AS37" s="706"/>
    </row>
    <row r="38" spans="1:46" ht="16.5" customHeight="1" x14ac:dyDescent="0.25">
      <c r="A38" s="642"/>
      <c r="B38" s="642"/>
      <c r="C38" s="1060"/>
      <c r="D38" s="1287"/>
      <c r="E38" s="1061"/>
      <c r="F38" s="1061"/>
      <c r="G38" s="1061"/>
      <c r="H38" s="227"/>
      <c r="I38" s="1270"/>
      <c r="J38" s="261"/>
      <c r="K38" s="301"/>
      <c r="L38" s="301"/>
      <c r="M38" s="301"/>
      <c r="N38" s="227"/>
      <c r="O38" s="181"/>
      <c r="P38" s="181"/>
      <c r="Q38" s="713"/>
      <c r="R38" s="1077"/>
      <c r="S38" s="1077"/>
      <c r="T38" s="713"/>
      <c r="U38" s="713"/>
      <c r="V38" s="713"/>
      <c r="W38" s="713"/>
      <c r="X38" s="713"/>
      <c r="Y38" s="713"/>
      <c r="Z38" s="713"/>
      <c r="AA38" s="713"/>
      <c r="AB38" s="713"/>
      <c r="AC38" s="713"/>
      <c r="AD38" s="494" t="s">
        <v>167</v>
      </c>
      <c r="AE38" s="278" t="s">
        <v>136</v>
      </c>
      <c r="AF38" s="278" t="s">
        <v>137</v>
      </c>
      <c r="AG38" s="493"/>
      <c r="AH38" s="236" t="s">
        <v>167</v>
      </c>
      <c r="AI38" s="278" t="s">
        <v>136</v>
      </c>
      <c r="AJ38" s="279" t="s">
        <v>137</v>
      </c>
      <c r="AL38" s="236"/>
    </row>
    <row r="39" spans="1:46" ht="16.5" customHeight="1" x14ac:dyDescent="0.25">
      <c r="A39" s="1269"/>
      <c r="B39" s="1370"/>
      <c r="C39" s="226"/>
      <c r="D39" s="226"/>
      <c r="E39" s="301"/>
      <c r="F39" s="230"/>
      <c r="G39" s="866"/>
      <c r="H39" s="227"/>
      <c r="I39" s="1270"/>
      <c r="J39" s="261"/>
      <c r="K39" s="301"/>
      <c r="L39" s="301"/>
      <c r="M39" s="301"/>
      <c r="N39" s="227"/>
      <c r="O39" s="25"/>
      <c r="P39" s="25"/>
      <c r="Q39" s="713"/>
      <c r="R39" s="1077"/>
      <c r="S39" s="1077"/>
      <c r="T39" s="713"/>
      <c r="U39" s="713"/>
      <c r="V39" s="713"/>
      <c r="W39" s="713"/>
      <c r="X39" s="713"/>
      <c r="Y39" s="713"/>
      <c r="Z39" s="713"/>
      <c r="AA39" s="713"/>
      <c r="AB39" s="713"/>
      <c r="AC39" s="713"/>
      <c r="AD39" s="643">
        <f>H39</f>
        <v>0</v>
      </c>
      <c r="AE39" s="837"/>
      <c r="AF39" s="495">
        <f>1-AE39</f>
        <v>1</v>
      </c>
      <c r="AG39" s="493"/>
      <c r="AH39" s="644">
        <f>N39</f>
        <v>0</v>
      </c>
      <c r="AI39" s="837"/>
      <c r="AJ39" s="264">
        <f>1-AI39</f>
        <v>1</v>
      </c>
      <c r="AL39" s="656">
        <f>H39*AE39</f>
        <v>0</v>
      </c>
      <c r="AM39" s="656">
        <f>H39*AF39</f>
        <v>0</v>
      </c>
      <c r="AO39" s="656">
        <f>N39*AI39</f>
        <v>0</v>
      </c>
      <c r="AP39" s="656">
        <f>N39*AJ39</f>
        <v>0</v>
      </c>
      <c r="AR39" s="656">
        <f>AL39+AO39</f>
        <v>0</v>
      </c>
      <c r="AS39" s="656">
        <f>AM39+AP39</f>
        <v>0</v>
      </c>
      <c r="AT39" s="656">
        <f>SUM(AR39:AS39)</f>
        <v>0</v>
      </c>
    </row>
    <row r="40" spans="1:46" ht="16.5" customHeight="1" x14ac:dyDescent="0.25">
      <c r="A40" s="1269"/>
      <c r="B40" s="1370"/>
      <c r="C40" s="226"/>
      <c r="D40" s="226"/>
      <c r="E40" s="301"/>
      <c r="F40" s="230"/>
      <c r="G40" s="866"/>
      <c r="H40" s="227"/>
      <c r="I40" s="1270"/>
      <c r="J40" s="261"/>
      <c r="K40" s="301"/>
      <c r="L40" s="301"/>
      <c r="M40" s="301"/>
      <c r="N40" s="227"/>
      <c r="O40" s="25"/>
      <c r="P40" s="25"/>
      <c r="Q40" s="713"/>
      <c r="R40" s="1077"/>
      <c r="S40" s="1077"/>
      <c r="T40" s="713"/>
      <c r="U40" s="713"/>
      <c r="V40" s="713"/>
      <c r="W40" s="713"/>
      <c r="X40" s="713"/>
      <c r="Y40" s="713"/>
      <c r="Z40" s="713"/>
      <c r="AA40" s="713"/>
      <c r="AB40" s="713"/>
      <c r="AC40" s="713"/>
      <c r="AD40" s="643">
        <f>H40</f>
        <v>0</v>
      </c>
      <c r="AE40" s="837"/>
      <c r="AF40" s="495">
        <f t="shared" ref="AF40:AF41" si="24">1-AE40</f>
        <v>1</v>
      </c>
      <c r="AG40" s="493"/>
      <c r="AH40" s="644">
        <f>N40</f>
        <v>0</v>
      </c>
      <c r="AI40" s="837"/>
      <c r="AJ40" s="264">
        <f>1-AI40</f>
        <v>1</v>
      </c>
      <c r="AL40" s="415">
        <f>H40*AE40</f>
        <v>0</v>
      </c>
      <c r="AM40" s="415">
        <f>H40*AF40</f>
        <v>0</v>
      </c>
      <c r="AN40" s="262"/>
      <c r="AO40" s="656">
        <f>N40*AI40</f>
        <v>0</v>
      </c>
      <c r="AP40" s="656">
        <f>N40*AJ40</f>
        <v>0</v>
      </c>
      <c r="AQ40" s="262"/>
      <c r="AR40" s="656">
        <f t="shared" ref="AR40:AS41" si="25">AL40+AO40</f>
        <v>0</v>
      </c>
      <c r="AS40" s="656">
        <f t="shared" si="25"/>
        <v>0</v>
      </c>
      <c r="AT40" s="656">
        <f t="shared" ref="AT40:AT42" si="26">SUM(AR40:AS40)</f>
        <v>0</v>
      </c>
    </row>
    <row r="41" spans="1:46" ht="16.5" customHeight="1" x14ac:dyDescent="0.25">
      <c r="A41" s="1269"/>
      <c r="B41" s="1370"/>
      <c r="C41" s="226"/>
      <c r="D41" s="226"/>
      <c r="E41" s="301"/>
      <c r="F41" s="230"/>
      <c r="G41" s="866"/>
      <c r="H41" s="227"/>
      <c r="I41" s="1270"/>
      <c r="J41" s="261"/>
      <c r="K41" s="301"/>
      <c r="L41" s="1205"/>
      <c r="M41" s="1204" t="s">
        <v>260</v>
      </c>
      <c r="N41" s="382">
        <v>0</v>
      </c>
      <c r="O41" s="25"/>
      <c r="P41" s="25"/>
      <c r="Q41" s="713"/>
      <c r="R41" s="1077"/>
      <c r="S41" s="1077"/>
      <c r="T41" s="713"/>
      <c r="U41" s="713"/>
      <c r="V41" s="713"/>
      <c r="W41" s="713"/>
      <c r="X41" s="713"/>
      <c r="Y41" s="713"/>
      <c r="Z41" s="713"/>
      <c r="AA41" s="713"/>
      <c r="AB41" s="713"/>
      <c r="AC41" s="713"/>
      <c r="AD41" s="643">
        <f>H41</f>
        <v>0</v>
      </c>
      <c r="AE41" s="837"/>
      <c r="AF41" s="495">
        <f t="shared" si="24"/>
        <v>1</v>
      </c>
      <c r="AG41" s="493"/>
      <c r="AH41" s="263">
        <v>0</v>
      </c>
      <c r="AI41" s="263">
        <v>0</v>
      </c>
      <c r="AJ41" s="273"/>
      <c r="AL41" s="420">
        <f>H41*AE41</f>
        <v>0</v>
      </c>
      <c r="AM41" s="420">
        <f>H41*AF41</f>
        <v>0</v>
      </c>
      <c r="AO41" s="297">
        <v>0</v>
      </c>
      <c r="AP41" s="297">
        <v>0</v>
      </c>
      <c r="AQ41" s="262"/>
      <c r="AR41" s="420">
        <f t="shared" si="25"/>
        <v>0</v>
      </c>
      <c r="AS41" s="420">
        <f t="shared" si="25"/>
        <v>0</v>
      </c>
      <c r="AT41" s="420">
        <f t="shared" si="26"/>
        <v>0</v>
      </c>
    </row>
    <row r="42" spans="1:46" ht="16.5" customHeight="1" thickBot="1" x14ac:dyDescent="0.3">
      <c r="A42" s="1216" t="s">
        <v>12</v>
      </c>
      <c r="B42" s="1216"/>
      <c r="C42" s="1161"/>
      <c r="D42" s="1161"/>
      <c r="E42" s="1161"/>
      <c r="F42" s="1161"/>
      <c r="G42" s="1161"/>
      <c r="H42" s="1161"/>
      <c r="I42" s="1161"/>
      <c r="J42" s="1161"/>
      <c r="K42" s="1161"/>
      <c r="L42" s="1161"/>
      <c r="M42" s="1167"/>
      <c r="N42" s="384">
        <f>SUM(H38:H41)+SUM(N38:N41)</f>
        <v>0</v>
      </c>
      <c r="O42" s="174"/>
      <c r="P42" s="174"/>
      <c r="Q42" s="713"/>
      <c r="R42" s="1077"/>
      <c r="S42" s="1077"/>
      <c r="T42" s="713"/>
      <c r="U42" s="713"/>
      <c r="V42" s="713"/>
      <c r="W42" s="713"/>
      <c r="X42" s="713"/>
      <c r="Y42" s="713"/>
      <c r="Z42" s="713"/>
      <c r="AA42" s="713"/>
      <c r="AB42" s="713"/>
      <c r="AC42" s="713"/>
      <c r="AD42" s="492"/>
      <c r="AE42" s="272"/>
      <c r="AF42" s="272"/>
      <c r="AG42" s="493"/>
      <c r="AH42" s="493"/>
      <c r="AI42" s="272"/>
      <c r="AJ42" s="273"/>
      <c r="AL42" s="656">
        <f t="shared" ref="AL42:AP42" si="27">SUM(AL39:AL41)</f>
        <v>0</v>
      </c>
      <c r="AM42" s="656">
        <f t="shared" si="27"/>
        <v>0</v>
      </c>
      <c r="AN42" s="656"/>
      <c r="AO42" s="656">
        <f t="shared" si="27"/>
        <v>0</v>
      </c>
      <c r="AP42" s="656">
        <f t="shared" si="27"/>
        <v>0</v>
      </c>
      <c r="AQ42" s="656"/>
      <c r="AR42" s="656">
        <f>SUM(AR39:AR41)</f>
        <v>0</v>
      </c>
      <c r="AS42" s="656">
        <f>SUM(AS39:AS41)</f>
        <v>0</v>
      </c>
      <c r="AT42" s="706">
        <f t="shared" si="26"/>
        <v>0</v>
      </c>
    </row>
    <row r="43" spans="1:46" ht="16.5" customHeight="1" x14ac:dyDescent="0.25">
      <c r="A43" s="1187" t="s">
        <v>15</v>
      </c>
      <c r="B43" s="1187"/>
      <c r="C43" s="226"/>
      <c r="D43" s="226"/>
      <c r="E43" s="301"/>
      <c r="F43" s="230"/>
      <c r="G43" s="866"/>
      <c r="H43" s="301"/>
      <c r="I43" s="261"/>
      <c r="J43" s="261"/>
      <c r="K43" s="346"/>
      <c r="L43" s="301"/>
      <c r="M43" s="301"/>
      <c r="N43" s="338"/>
      <c r="O43" s="180"/>
      <c r="P43" s="180"/>
      <c r="Q43" s="713"/>
      <c r="R43" s="1077"/>
      <c r="S43" s="1077"/>
      <c r="T43" s="713"/>
      <c r="U43" s="713"/>
      <c r="V43" s="713"/>
      <c r="W43" s="713"/>
      <c r="X43" s="713"/>
      <c r="Y43" s="713"/>
      <c r="Z43" s="713"/>
      <c r="AA43" s="713"/>
      <c r="AB43" s="713"/>
      <c r="AC43" s="713"/>
      <c r="AD43" s="494" t="s">
        <v>34</v>
      </c>
      <c r="AE43" s="272" t="s">
        <v>203</v>
      </c>
      <c r="AF43" s="272" t="s">
        <v>204</v>
      </c>
      <c r="AG43" s="493"/>
      <c r="AH43" s="236" t="s">
        <v>34</v>
      </c>
      <c r="AI43" s="272" t="s">
        <v>203</v>
      </c>
      <c r="AJ43" s="273" t="s">
        <v>204</v>
      </c>
      <c r="AL43" s="236" t="s">
        <v>34</v>
      </c>
      <c r="AR43" s="708"/>
      <c r="AS43" s="706"/>
    </row>
    <row r="44" spans="1:46" ht="16.5" customHeight="1" x14ac:dyDescent="0.25">
      <c r="A44" s="1144"/>
      <c r="B44" s="1370"/>
      <c r="C44" s="1060"/>
      <c r="D44" s="1287"/>
      <c r="E44" s="1061"/>
      <c r="F44" s="405"/>
      <c r="G44" s="405"/>
      <c r="H44" s="227"/>
      <c r="I44" s="1270"/>
      <c r="J44" s="261"/>
      <c r="K44" s="301"/>
      <c r="L44" s="301"/>
      <c r="M44" s="301"/>
      <c r="N44" s="227"/>
      <c r="O44" s="181"/>
      <c r="P44" s="181"/>
      <c r="Q44" s="713"/>
      <c r="R44" s="1077"/>
      <c r="S44" s="1077"/>
      <c r="T44" s="713"/>
      <c r="U44" s="713"/>
      <c r="V44" s="713"/>
      <c r="W44" s="713"/>
      <c r="X44" s="713"/>
      <c r="Y44" s="713"/>
      <c r="Z44" s="713"/>
      <c r="AA44" s="713"/>
      <c r="AB44" s="713"/>
      <c r="AC44" s="713"/>
      <c r="AD44" s="494" t="s">
        <v>167</v>
      </c>
      <c r="AE44" s="278" t="s">
        <v>136</v>
      </c>
      <c r="AF44" s="278" t="s">
        <v>137</v>
      </c>
      <c r="AG44" s="493"/>
      <c r="AH44" s="236" t="s">
        <v>167</v>
      </c>
      <c r="AI44" s="278" t="s">
        <v>136</v>
      </c>
      <c r="AJ44" s="279" t="s">
        <v>137</v>
      </c>
    </row>
    <row r="45" spans="1:46" ht="16.5" customHeight="1" x14ac:dyDescent="0.25">
      <c r="A45" s="602"/>
      <c r="B45" s="1370"/>
      <c r="C45" s="226"/>
      <c r="D45" s="226"/>
      <c r="E45" s="301"/>
      <c r="F45" s="230"/>
      <c r="G45" s="866"/>
      <c r="H45" s="227"/>
      <c r="I45" s="1270"/>
      <c r="J45" s="261"/>
      <c r="K45" s="301"/>
      <c r="L45" s="1205"/>
      <c r="M45" s="1204" t="s">
        <v>261</v>
      </c>
      <c r="N45" s="382">
        <v>0</v>
      </c>
      <c r="O45" s="25"/>
      <c r="P45" s="25"/>
      <c r="Q45" s="713"/>
      <c r="R45" s="1077"/>
      <c r="S45" s="1077"/>
      <c r="T45" s="713"/>
      <c r="U45" s="713"/>
      <c r="V45" s="713"/>
      <c r="W45" s="713"/>
      <c r="X45" s="713"/>
      <c r="Y45" s="713"/>
      <c r="Z45" s="713"/>
      <c r="AA45" s="713"/>
      <c r="AB45" s="713"/>
      <c r="AC45" s="713"/>
      <c r="AD45" s="643">
        <f>H45</f>
        <v>0</v>
      </c>
      <c r="AE45" s="837"/>
      <c r="AF45" s="495">
        <f>1-AE45</f>
        <v>1</v>
      </c>
      <c r="AG45" s="493"/>
      <c r="AH45" s="263">
        <v>0</v>
      </c>
      <c r="AI45" s="263">
        <v>0</v>
      </c>
      <c r="AJ45" s="273"/>
      <c r="AL45" s="420">
        <f>H45*AE45</f>
        <v>0</v>
      </c>
      <c r="AM45" s="420">
        <f>H45*AF45</f>
        <v>0</v>
      </c>
      <c r="AO45" s="297">
        <v>0</v>
      </c>
      <c r="AP45" s="297">
        <v>0</v>
      </c>
      <c r="AR45" s="420">
        <f>AL45+AO45</f>
        <v>0</v>
      </c>
      <c r="AS45" s="420">
        <f>AM45+AP45</f>
        <v>0</v>
      </c>
      <c r="AT45" s="420">
        <f>SUM(AR45:AS45)</f>
        <v>0</v>
      </c>
    </row>
    <row r="46" spans="1:46" ht="16.5" customHeight="1" thickBot="1" x14ac:dyDescent="0.3">
      <c r="A46" s="1202" t="s">
        <v>16</v>
      </c>
      <c r="B46" s="1367"/>
      <c r="C46" s="1142"/>
      <c r="D46" s="1142"/>
      <c r="E46" s="421"/>
      <c r="F46" s="421"/>
      <c r="G46" s="421"/>
      <c r="H46" s="421"/>
      <c r="I46" s="1160"/>
      <c r="J46" s="1160"/>
      <c r="K46" s="421"/>
      <c r="L46" s="421"/>
      <c r="M46" s="1168"/>
      <c r="N46" s="383">
        <f>SUM(H44:H45)+ SUM(N44:N45)</f>
        <v>0</v>
      </c>
      <c r="O46" s="174"/>
      <c r="P46" s="174"/>
      <c r="Q46" s="713"/>
      <c r="R46" s="1077"/>
      <c r="S46" s="1077"/>
      <c r="T46" s="713"/>
      <c r="U46" s="713"/>
      <c r="V46" s="713"/>
      <c r="W46" s="713"/>
      <c r="X46" s="713"/>
      <c r="Y46" s="713"/>
      <c r="Z46" s="713"/>
      <c r="AA46" s="713"/>
      <c r="AB46" s="713"/>
      <c r="AC46" s="713"/>
      <c r="AD46" s="492"/>
      <c r="AE46" s="272"/>
      <c r="AF46" s="272"/>
      <c r="AG46" s="493"/>
      <c r="AH46" s="493"/>
      <c r="AI46" s="272"/>
      <c r="AJ46" s="273"/>
      <c r="AL46" s="656">
        <f>SUM(AL45:AL45)</f>
        <v>0</v>
      </c>
      <c r="AM46" s="656">
        <f>SUM(AM45:AM45)</f>
        <v>0</v>
      </c>
      <c r="AO46" s="656" t="e">
        <f>#REF!+AO45</f>
        <v>#REF!</v>
      </c>
      <c r="AP46" s="656" t="e">
        <f>#REF!+AP45</f>
        <v>#REF!</v>
      </c>
      <c r="AR46" s="656">
        <f>SUM(AR45:AR45)</f>
        <v>0</v>
      </c>
      <c r="AS46" s="656">
        <f>SUM(AS45:AS45)</f>
        <v>0</v>
      </c>
      <c r="AT46" s="706">
        <f>SUM(AR46:AS46)</f>
        <v>0</v>
      </c>
    </row>
    <row r="47" spans="1:46" ht="16.5" customHeight="1" x14ac:dyDescent="0.25">
      <c r="A47" s="1194" t="s">
        <v>29</v>
      </c>
      <c r="B47" s="1194"/>
      <c r="C47" s="226"/>
      <c r="D47" s="226"/>
      <c r="E47" s="301"/>
      <c r="F47" s="301"/>
      <c r="G47" s="301"/>
      <c r="H47" s="301"/>
      <c r="I47" s="261"/>
      <c r="J47" s="261"/>
      <c r="K47" s="301"/>
      <c r="L47" s="301"/>
      <c r="M47" s="301"/>
      <c r="N47" s="338"/>
      <c r="O47" s="180"/>
      <c r="P47" s="180"/>
      <c r="Q47" s="713"/>
      <c r="R47" s="1077"/>
      <c r="S47" s="1077"/>
      <c r="T47" s="713"/>
      <c r="U47" s="713"/>
      <c r="V47" s="713"/>
      <c r="W47" s="713"/>
      <c r="X47" s="713"/>
      <c r="Y47" s="713"/>
      <c r="Z47" s="713"/>
      <c r="AA47" s="713"/>
      <c r="AB47" s="713"/>
      <c r="AC47" s="713"/>
      <c r="AD47" s="492"/>
      <c r="AE47" s="272"/>
      <c r="AF47" s="272"/>
      <c r="AG47" s="493"/>
      <c r="AH47" s="493"/>
      <c r="AI47" s="272"/>
      <c r="AJ47" s="273"/>
      <c r="AR47" s="708"/>
      <c r="AS47" s="706"/>
    </row>
    <row r="48" spans="1:46" ht="16.5" customHeight="1" x14ac:dyDescent="0.25">
      <c r="A48" s="5"/>
      <c r="B48" s="5"/>
      <c r="C48" s="1066"/>
      <c r="D48" s="1066"/>
      <c r="E48" s="1061"/>
      <c r="F48" s="1061"/>
      <c r="G48" s="1061"/>
      <c r="H48" s="227"/>
      <c r="I48" s="1270"/>
      <c r="J48" s="261"/>
      <c r="K48" s="349"/>
      <c r="L48" s="301"/>
      <c r="M48" s="301"/>
      <c r="N48" s="385"/>
      <c r="O48" s="181"/>
      <c r="P48" s="181"/>
      <c r="Q48" s="713"/>
      <c r="R48" s="1077"/>
      <c r="S48" s="1077"/>
      <c r="T48" s="713"/>
      <c r="U48" s="713"/>
      <c r="V48" s="713"/>
      <c r="W48" s="713"/>
      <c r="X48" s="713"/>
      <c r="Y48" s="713"/>
      <c r="Z48" s="713"/>
      <c r="AA48" s="713"/>
      <c r="AB48" s="713"/>
      <c r="AC48" s="713"/>
      <c r="AD48" s="492"/>
      <c r="AE48" s="272"/>
      <c r="AF48" s="272"/>
      <c r="AG48" s="493"/>
      <c r="AH48" s="493"/>
      <c r="AI48" s="272"/>
      <c r="AJ48" s="273"/>
    </row>
    <row r="49" spans="1:46" ht="16.5" customHeight="1" x14ac:dyDescent="0.25">
      <c r="A49" s="1269"/>
      <c r="B49" s="1370"/>
      <c r="C49" s="348"/>
      <c r="D49" s="348"/>
      <c r="E49" s="349"/>
      <c r="F49" s="350"/>
      <c r="G49" s="350"/>
      <c r="H49" s="227"/>
      <c r="I49" s="1270"/>
      <c r="J49" s="261"/>
      <c r="K49" s="349"/>
      <c r="L49" s="301"/>
      <c r="M49" s="301"/>
      <c r="N49" s="385"/>
      <c r="O49" s="182"/>
      <c r="P49" s="182"/>
      <c r="Q49" s="713"/>
      <c r="R49" s="1077"/>
      <c r="S49" s="1077"/>
      <c r="T49" s="747"/>
      <c r="U49" s="747"/>
      <c r="V49" s="747"/>
      <c r="W49" s="747"/>
      <c r="X49" s="747"/>
      <c r="Y49" s="747"/>
      <c r="Z49" s="747"/>
      <c r="AA49" s="747"/>
      <c r="AB49" s="747"/>
      <c r="AC49" s="747"/>
      <c r="AD49" s="271"/>
      <c r="AE49" s="259"/>
      <c r="AF49" s="259"/>
      <c r="AG49" s="496"/>
      <c r="AH49" s="496"/>
      <c r="AI49" s="259"/>
      <c r="AJ49" s="497"/>
    </row>
    <row r="50" spans="1:46" ht="16.5" customHeight="1" x14ac:dyDescent="0.25">
      <c r="A50" s="1269"/>
      <c r="B50" s="1370"/>
      <c r="C50" s="348"/>
      <c r="D50" s="348"/>
      <c r="E50" s="349"/>
      <c r="F50" s="350"/>
      <c r="G50" s="350"/>
      <c r="H50" s="227"/>
      <c r="I50" s="1270"/>
      <c r="J50" s="261"/>
      <c r="K50" s="349"/>
      <c r="L50" s="1205"/>
      <c r="M50" s="1204" t="s">
        <v>262</v>
      </c>
      <c r="N50" s="382">
        <v>0</v>
      </c>
      <c r="O50" s="25"/>
      <c r="P50" s="25"/>
      <c r="Q50" s="713"/>
      <c r="R50" s="1077"/>
      <c r="S50" s="1077"/>
      <c r="T50" s="747"/>
      <c r="U50" s="747"/>
      <c r="V50" s="747"/>
      <c r="W50" s="747"/>
      <c r="X50" s="747"/>
      <c r="Y50" s="747"/>
      <c r="Z50" s="747"/>
      <c r="AA50" s="747"/>
      <c r="AB50" s="747"/>
      <c r="AC50" s="747"/>
      <c r="AD50" s="271"/>
      <c r="AE50" s="259"/>
      <c r="AF50" s="259"/>
      <c r="AG50" s="496"/>
      <c r="AH50" s="496"/>
      <c r="AI50" s="272" t="s">
        <v>203</v>
      </c>
      <c r="AJ50" s="273" t="s">
        <v>204</v>
      </c>
    </row>
    <row r="51" spans="1:46" ht="16.5" customHeight="1" thickBot="1" x14ac:dyDescent="0.35">
      <c r="A51" s="1216" t="s">
        <v>30</v>
      </c>
      <c r="B51" s="1216"/>
      <c r="C51" s="1161"/>
      <c r="D51" s="1161"/>
      <c r="E51" s="1161"/>
      <c r="F51" s="1161"/>
      <c r="G51" s="1161"/>
      <c r="H51" s="1161"/>
      <c r="I51" s="1161"/>
      <c r="J51" s="1161"/>
      <c r="K51" s="1161"/>
      <c r="L51" s="1161"/>
      <c r="M51" s="1167"/>
      <c r="N51" s="386">
        <f>SUM(H48:H50)+SUM(N48:N50)</f>
        <v>0</v>
      </c>
      <c r="O51" s="183"/>
      <c r="P51" s="183"/>
      <c r="Q51" s="1045" t="s">
        <v>45</v>
      </c>
      <c r="R51" s="1082"/>
      <c r="S51" s="1077"/>
      <c r="T51" s="713"/>
      <c r="U51" s="713"/>
      <c r="V51" s="713"/>
      <c r="W51" s="713"/>
      <c r="X51" s="713"/>
      <c r="Y51" s="713"/>
      <c r="Z51" s="713"/>
      <c r="AA51" s="713"/>
      <c r="AB51" s="713"/>
      <c r="AC51" s="713"/>
      <c r="AD51" s="271"/>
      <c r="AE51" s="276"/>
      <c r="AF51" s="276"/>
      <c r="AG51" s="262"/>
      <c r="AH51" s="262"/>
      <c r="AI51" s="278" t="s">
        <v>136</v>
      </c>
      <c r="AJ51" s="279" t="s">
        <v>137</v>
      </c>
    </row>
    <row r="52" spans="1:46" ht="16.5" customHeight="1" x14ac:dyDescent="0.25">
      <c r="A52" s="1194" t="s">
        <v>68</v>
      </c>
      <c r="B52" s="1194"/>
      <c r="C52" s="226"/>
      <c r="D52" s="226"/>
      <c r="E52" s="350"/>
      <c r="F52" s="350"/>
      <c r="G52" s="350"/>
      <c r="H52" s="350"/>
      <c r="I52" s="350"/>
      <c r="J52" s="350"/>
      <c r="K52" s="226"/>
      <c r="L52" s="351" t="s">
        <v>72</v>
      </c>
      <c r="M52" s="351" t="s">
        <v>73</v>
      </c>
      <c r="N52" s="338"/>
      <c r="O52" s="180"/>
      <c r="P52" s="180"/>
      <c r="Q52" s="713"/>
      <c r="R52" s="1077"/>
      <c r="S52" s="1077"/>
      <c r="T52" s="713"/>
      <c r="U52" s="713"/>
      <c r="V52" s="713"/>
      <c r="W52" s="713"/>
      <c r="X52" s="713"/>
      <c r="Y52" s="713"/>
      <c r="Z52" s="713"/>
      <c r="AA52" s="713"/>
      <c r="AB52" s="713"/>
      <c r="AC52" s="713"/>
      <c r="AD52" s="1467"/>
      <c r="AE52" s="1468"/>
      <c r="AF52" s="498"/>
      <c r="AG52" s="262"/>
      <c r="AH52" s="1465" t="s">
        <v>160</v>
      </c>
      <c r="AI52" s="1465"/>
      <c r="AJ52" s="1466"/>
    </row>
    <row r="53" spans="1:46" ht="16.5" customHeight="1" x14ac:dyDescent="0.25">
      <c r="A53" s="642"/>
      <c r="B53" s="642"/>
      <c r="C53" s="1062"/>
      <c r="D53" s="1062"/>
      <c r="E53" s="1064"/>
      <c r="F53" s="1064"/>
      <c r="G53" s="1064"/>
      <c r="H53" s="1064"/>
      <c r="I53" s="1064"/>
      <c r="J53" s="1064"/>
      <c r="K53" s="1062"/>
      <c r="L53" s="352"/>
      <c r="M53" s="352"/>
      <c r="N53" s="513">
        <f t="shared" ref="N53:N58" si="28">L53+M53</f>
        <v>0</v>
      </c>
      <c r="O53" s="181"/>
      <c r="P53" s="181"/>
      <c r="Q53" s="713"/>
      <c r="R53" s="1077"/>
      <c r="S53" s="1077"/>
      <c r="T53" s="713"/>
      <c r="U53" s="713"/>
      <c r="V53" s="713"/>
      <c r="W53" s="713"/>
      <c r="X53" s="713"/>
      <c r="Y53" s="713"/>
      <c r="Z53" s="713"/>
      <c r="AA53" s="713"/>
      <c r="AB53" s="713"/>
      <c r="AC53" s="713"/>
      <c r="AD53" s="271"/>
      <c r="AE53" s="259"/>
      <c r="AF53" s="259"/>
      <c r="AG53" s="493"/>
      <c r="AH53" s="493"/>
      <c r="AI53" s="499" t="s">
        <v>171</v>
      </c>
      <c r="AJ53" s="500"/>
      <c r="AK53" s="419"/>
      <c r="AM53" s="419"/>
      <c r="AO53" s="499" t="s">
        <v>171</v>
      </c>
      <c r="AP53" s="419"/>
      <c r="AR53" s="419"/>
      <c r="AS53" s="419"/>
      <c r="AT53" s="419"/>
    </row>
    <row r="54" spans="1:46" ht="16.5" customHeight="1" x14ac:dyDescent="0.25">
      <c r="A54" s="602"/>
      <c r="B54" s="1370"/>
      <c r="C54" s="226"/>
      <c r="D54" s="226"/>
      <c r="E54" s="301"/>
      <c r="F54" s="301"/>
      <c r="G54" s="301"/>
      <c r="H54" s="301"/>
      <c r="I54" s="301"/>
      <c r="J54" s="301"/>
      <c r="K54" s="262"/>
      <c r="L54" s="352"/>
      <c r="M54" s="352"/>
      <c r="N54" s="513">
        <f t="shared" si="28"/>
        <v>0</v>
      </c>
      <c r="O54" s="25"/>
      <c r="P54" s="25"/>
      <c r="Q54" s="713"/>
      <c r="R54" s="1077"/>
      <c r="S54" s="1077"/>
      <c r="T54" s="713"/>
      <c r="U54" s="713"/>
      <c r="V54" s="713"/>
      <c r="W54" s="713"/>
      <c r="X54" s="713"/>
      <c r="Y54" s="713"/>
      <c r="Z54" s="713"/>
      <c r="AA54" s="713"/>
      <c r="AB54" s="713"/>
      <c r="AC54" s="713"/>
      <c r="AD54" s="492"/>
      <c r="AE54" s="272"/>
      <c r="AF54" s="259"/>
      <c r="AG54" s="493"/>
      <c r="AH54" s="646">
        <f>N185</f>
        <v>0</v>
      </c>
      <c r="AI54" s="837"/>
      <c r="AJ54" s="264">
        <f>1-AI54</f>
        <v>1</v>
      </c>
      <c r="AL54" s="656"/>
      <c r="AM54" s="656"/>
      <c r="AO54" s="656">
        <f>N185*AI54</f>
        <v>0</v>
      </c>
      <c r="AP54" s="656">
        <f>N185*AJ54</f>
        <v>0</v>
      </c>
      <c r="AR54" s="656">
        <f>AL54+AO54</f>
        <v>0</v>
      </c>
      <c r="AS54" s="656">
        <f>AM54+AP54</f>
        <v>0</v>
      </c>
      <c r="AT54" s="706">
        <f>AR54+AS54</f>
        <v>0</v>
      </c>
    </row>
    <row r="55" spans="1:46" ht="16.5" customHeight="1" x14ac:dyDescent="0.25">
      <c r="A55" s="602"/>
      <c r="B55" s="1370"/>
      <c r="C55" s="226"/>
      <c r="D55" s="226"/>
      <c r="E55" s="301"/>
      <c r="F55" s="301"/>
      <c r="G55" s="301"/>
      <c r="H55" s="301"/>
      <c r="I55" s="301"/>
      <c r="J55" s="301"/>
      <c r="K55" s="262"/>
      <c r="L55" s="352"/>
      <c r="M55" s="352"/>
      <c r="N55" s="513">
        <f t="shared" si="28"/>
        <v>0</v>
      </c>
      <c r="O55" s="25"/>
      <c r="P55" s="25"/>
      <c r="Q55" s="713"/>
      <c r="R55" s="1077"/>
      <c r="S55" s="1077"/>
      <c r="T55" s="713"/>
      <c r="U55" s="713"/>
      <c r="V55" s="713"/>
      <c r="W55" s="713"/>
      <c r="X55" s="713"/>
      <c r="Y55" s="713"/>
      <c r="Z55" s="713"/>
      <c r="AA55" s="713"/>
      <c r="AB55" s="713"/>
      <c r="AC55" s="713"/>
      <c r="AD55" s="492"/>
      <c r="AE55" s="272"/>
      <c r="AF55" s="259"/>
      <c r="AG55" s="493"/>
      <c r="AH55" s="259"/>
      <c r="AI55" s="259"/>
      <c r="AJ55" s="273"/>
    </row>
    <row r="56" spans="1:46" ht="16.5" customHeight="1" x14ac:dyDescent="0.25">
      <c r="A56" s="602"/>
      <c r="B56" s="1370"/>
      <c r="C56" s="226"/>
      <c r="D56" s="226"/>
      <c r="E56" s="301"/>
      <c r="F56" s="301"/>
      <c r="G56" s="301"/>
      <c r="H56" s="301"/>
      <c r="I56" s="301"/>
      <c r="J56" s="301"/>
      <c r="K56" s="262"/>
      <c r="L56" s="352"/>
      <c r="M56" s="352"/>
      <c r="N56" s="513">
        <f t="shared" si="28"/>
        <v>0</v>
      </c>
      <c r="O56" s="25"/>
      <c r="P56" s="25"/>
      <c r="Q56" s="713"/>
      <c r="R56" s="1077"/>
      <c r="S56" s="1077"/>
      <c r="T56" s="713"/>
      <c r="U56" s="713"/>
      <c r="V56" s="713"/>
      <c r="W56" s="713"/>
      <c r="X56" s="713"/>
      <c r="Y56" s="713"/>
      <c r="Z56" s="713"/>
      <c r="AA56" s="713"/>
      <c r="AB56" s="713"/>
      <c r="AC56" s="713"/>
      <c r="AD56" s="492"/>
      <c r="AE56" s="272"/>
      <c r="AF56" s="259"/>
      <c r="AG56" s="493"/>
      <c r="AH56" s="259"/>
      <c r="AI56" s="272" t="s">
        <v>203</v>
      </c>
      <c r="AJ56" s="273" t="s">
        <v>204</v>
      </c>
    </row>
    <row r="57" spans="1:46" ht="16.5" customHeight="1" x14ac:dyDescent="0.25">
      <c r="A57" s="1195" t="s">
        <v>175</v>
      </c>
      <c r="B57" s="1195"/>
      <c r="C57" s="354"/>
      <c r="D57" s="354"/>
      <c r="E57" s="355"/>
      <c r="F57" s="355"/>
      <c r="G57" s="355"/>
      <c r="H57" s="355"/>
      <c r="I57" s="355"/>
      <c r="J57" s="355"/>
      <c r="K57" s="356"/>
      <c r="L57" s="357"/>
      <c r="M57" s="997"/>
      <c r="N57" s="513">
        <f t="shared" si="28"/>
        <v>0</v>
      </c>
      <c r="O57" s="25"/>
      <c r="P57" s="25"/>
      <c r="Q57" s="713"/>
      <c r="R57" s="1077"/>
      <c r="S57" s="1077"/>
      <c r="T57" s="713"/>
      <c r="U57" s="713"/>
      <c r="V57" s="713"/>
      <c r="W57" s="713"/>
      <c r="X57" s="713"/>
      <c r="Y57" s="713"/>
      <c r="Z57" s="713"/>
      <c r="AA57" s="713"/>
      <c r="AB57" s="713"/>
      <c r="AC57" s="713"/>
      <c r="AD57" s="492"/>
      <c r="AE57" s="272"/>
      <c r="AF57" s="259"/>
      <c r="AG57" s="493"/>
      <c r="AH57" s="502"/>
      <c r="AI57" s="502" t="s">
        <v>172</v>
      </c>
      <c r="AJ57" s="273"/>
      <c r="AO57" s="502" t="s">
        <v>172</v>
      </c>
    </row>
    <row r="58" spans="1:46" ht="17.25" customHeight="1" x14ac:dyDescent="0.25">
      <c r="A58" s="293"/>
      <c r="B58" s="293"/>
      <c r="C58" s="294"/>
      <c r="D58" s="294"/>
      <c r="E58" s="295"/>
      <c r="F58" s="295"/>
      <c r="G58" s="295"/>
      <c r="H58" s="295"/>
      <c r="I58" s="295"/>
      <c r="J58" s="295"/>
      <c r="K58" s="1204" t="s">
        <v>224</v>
      </c>
      <c r="L58" s="297">
        <v>0</v>
      </c>
      <c r="M58" s="297">
        <v>0</v>
      </c>
      <c r="N58" s="515">
        <f t="shared" si="28"/>
        <v>0</v>
      </c>
      <c r="O58" s="25"/>
      <c r="P58" s="25"/>
      <c r="Q58" s="713"/>
      <c r="R58" s="1077"/>
      <c r="S58" s="1077"/>
      <c r="T58" s="713"/>
      <c r="U58" s="713"/>
      <c r="V58" s="713"/>
      <c r="W58" s="713"/>
      <c r="X58" s="713"/>
      <c r="Y58" s="713"/>
      <c r="Z58" s="713"/>
      <c r="AA58" s="713"/>
      <c r="AB58" s="713"/>
      <c r="AC58" s="713"/>
      <c r="AD58" s="492"/>
      <c r="AE58" s="272"/>
      <c r="AF58" s="259"/>
      <c r="AG58" s="493"/>
      <c r="AH58" s="647">
        <f>N128</f>
        <v>0</v>
      </c>
      <c r="AI58" s="837"/>
      <c r="AJ58" s="264">
        <f>1-AI58</f>
        <v>1</v>
      </c>
      <c r="AO58" s="713">
        <f>N128*AI58</f>
        <v>0</v>
      </c>
      <c r="AP58" s="230">
        <f>N128*AJ58</f>
        <v>0</v>
      </c>
      <c r="AR58" s="656">
        <f>AL58+AO58</f>
        <v>0</v>
      </c>
      <c r="AS58" s="230">
        <f>AM58+AP58</f>
        <v>0</v>
      </c>
      <c r="AT58" s="706">
        <f>AR58+AS58</f>
        <v>0</v>
      </c>
    </row>
    <row r="59" spans="1:46" ht="16.5" customHeight="1" thickBot="1" x14ac:dyDescent="0.35">
      <c r="A59" s="1210" t="s">
        <v>47</v>
      </c>
      <c r="B59" s="1210"/>
      <c r="C59" s="1169"/>
      <c r="D59" s="1169"/>
      <c r="E59" s="1169"/>
      <c r="F59" s="1169"/>
      <c r="G59" s="1169"/>
      <c r="H59" s="1169"/>
      <c r="I59" s="1169"/>
      <c r="J59" s="1169"/>
      <c r="K59" s="1169"/>
      <c r="L59" s="1175">
        <f>SUM(L53:L58)</f>
        <v>0</v>
      </c>
      <c r="M59" s="299">
        <f>SUM(M53:M58)</f>
        <v>0</v>
      </c>
      <c r="N59" s="388">
        <f>SUM(N53:N58)</f>
        <v>0</v>
      </c>
      <c r="O59" s="175"/>
      <c r="P59" s="175"/>
      <c r="Q59" s="1045" t="s">
        <v>140</v>
      </c>
      <c r="R59" s="1082"/>
      <c r="S59" s="1077"/>
      <c r="T59" s="713"/>
      <c r="U59" s="713"/>
      <c r="V59" s="713"/>
      <c r="W59" s="713"/>
      <c r="X59" s="713"/>
      <c r="Y59" s="713"/>
      <c r="Z59" s="713"/>
      <c r="AA59" s="713"/>
      <c r="AB59" s="713"/>
      <c r="AC59" s="713"/>
      <c r="AD59" s="494" t="s">
        <v>170</v>
      </c>
      <c r="AE59" s="272" t="s">
        <v>203</v>
      </c>
      <c r="AF59" s="272" t="s">
        <v>204</v>
      </c>
      <c r="AG59" s="493"/>
      <c r="AH59" s="236" t="s">
        <v>170</v>
      </c>
      <c r="AI59" s="272" t="s">
        <v>203</v>
      </c>
      <c r="AJ59" s="273" t="s">
        <v>204</v>
      </c>
      <c r="AL59" s="419"/>
      <c r="AM59" s="419"/>
      <c r="AO59" s="419"/>
      <c r="AP59" s="419"/>
      <c r="AR59" s="419"/>
      <c r="AS59" s="419"/>
      <c r="AT59" s="419"/>
    </row>
    <row r="60" spans="1:46" ht="16.5" customHeight="1" x14ac:dyDescent="0.25">
      <c r="A60" s="1187" t="s">
        <v>65</v>
      </c>
      <c r="B60" s="1187"/>
      <c r="C60" s="226"/>
      <c r="D60" s="226"/>
      <c r="E60" s="301"/>
      <c r="F60" s="301"/>
      <c r="G60" s="301"/>
      <c r="H60" s="301"/>
      <c r="I60" s="301"/>
      <c r="J60" s="301"/>
      <c r="K60" s="301"/>
      <c r="L60" s="301"/>
      <c r="M60" s="301"/>
      <c r="N60" s="338"/>
      <c r="O60" s="180"/>
      <c r="P60" s="180"/>
      <c r="Q60" s="713"/>
      <c r="R60" s="1077"/>
      <c r="S60" s="1077"/>
      <c r="T60" s="713"/>
      <c r="U60" s="713"/>
      <c r="V60" s="713"/>
      <c r="W60" s="713"/>
      <c r="X60" s="713"/>
      <c r="Y60" s="713"/>
      <c r="Z60" s="713"/>
      <c r="AA60" s="713"/>
      <c r="AB60" s="713"/>
      <c r="AC60" s="713"/>
      <c r="AD60" s="274" t="s">
        <v>167</v>
      </c>
      <c r="AE60" s="278" t="s">
        <v>136</v>
      </c>
      <c r="AF60" s="278" t="s">
        <v>137</v>
      </c>
      <c r="AG60" s="493"/>
      <c r="AH60" s="275" t="s">
        <v>167</v>
      </c>
      <c r="AI60" s="278" t="s">
        <v>136</v>
      </c>
      <c r="AJ60" s="278" t="s">
        <v>137</v>
      </c>
      <c r="AL60" s="617" t="s">
        <v>67</v>
      </c>
      <c r="AR60" s="708"/>
      <c r="AS60" s="656"/>
    </row>
    <row r="61" spans="1:46" ht="16.5" customHeight="1" x14ac:dyDescent="0.25">
      <c r="A61" s="642"/>
      <c r="B61" s="642"/>
      <c r="C61" s="341"/>
      <c r="D61" s="341"/>
      <c r="E61" s="1061"/>
      <c r="F61" s="1061"/>
      <c r="G61" s="1061"/>
      <c r="H61" s="227"/>
      <c r="I61" s="261"/>
      <c r="J61" s="261"/>
      <c r="K61" s="261"/>
      <c r="L61" s="301"/>
      <c r="M61" s="301"/>
      <c r="N61" s="227"/>
      <c r="O61" s="181"/>
      <c r="P61" s="181"/>
      <c r="Q61" s="713"/>
      <c r="R61" s="1077"/>
      <c r="S61" s="1077"/>
      <c r="T61" s="713"/>
      <c r="U61" s="713"/>
      <c r="V61" s="713"/>
      <c r="W61" s="713"/>
      <c r="X61" s="713"/>
      <c r="Y61" s="713"/>
      <c r="Z61" s="713"/>
      <c r="AA61" s="713"/>
      <c r="AB61" s="713"/>
      <c r="AC61" s="713"/>
      <c r="AD61" s="1463" t="s">
        <v>159</v>
      </c>
      <c r="AE61" s="1464"/>
      <c r="AF61" s="501"/>
      <c r="AG61" s="493"/>
      <c r="AH61" s="1465" t="s">
        <v>160</v>
      </c>
      <c r="AI61" s="1465"/>
      <c r="AJ61" s="1466"/>
    </row>
    <row r="62" spans="1:46" ht="16.5" customHeight="1" x14ac:dyDescent="0.25">
      <c r="A62" s="305"/>
      <c r="B62" s="305"/>
      <c r="C62" s="359"/>
      <c r="D62" s="359"/>
      <c r="E62" s="349"/>
      <c r="F62" s="301"/>
      <c r="G62" s="301"/>
      <c r="H62" s="227"/>
      <c r="I62" s="261"/>
      <c r="J62" s="261"/>
      <c r="K62" s="261"/>
      <c r="L62" s="301"/>
      <c r="M62" s="301"/>
      <c r="N62" s="227"/>
      <c r="O62" s="25"/>
      <c r="P62" s="25"/>
      <c r="Q62" s="713"/>
      <c r="R62" s="1077"/>
      <c r="S62" s="1077"/>
      <c r="T62" s="713"/>
      <c r="U62" s="713"/>
      <c r="V62" s="713"/>
      <c r="W62" s="713"/>
      <c r="X62" s="713"/>
      <c r="Y62" s="713"/>
      <c r="Z62" s="713"/>
      <c r="AA62" s="713"/>
      <c r="AB62" s="713"/>
      <c r="AC62" s="713"/>
      <c r="AD62" s="643">
        <f>H62</f>
        <v>0</v>
      </c>
      <c r="AE62" s="837"/>
      <c r="AF62" s="495">
        <f>1-AE62</f>
        <v>1</v>
      </c>
      <c r="AG62" s="493"/>
      <c r="AH62" s="644">
        <f>N62</f>
        <v>0</v>
      </c>
      <c r="AI62" s="837"/>
      <c r="AJ62" s="264">
        <f>1-AI62</f>
        <v>1</v>
      </c>
      <c r="AL62" s="656">
        <f>H62*AE62</f>
        <v>0</v>
      </c>
      <c r="AM62" s="656">
        <f>H62*AF62</f>
        <v>0</v>
      </c>
      <c r="AO62" s="656">
        <f t="shared" ref="AO62:AO67" si="29">N62*AI62</f>
        <v>0</v>
      </c>
      <c r="AP62" s="656">
        <f t="shared" ref="AP62:AP67" si="30">N62*AJ62</f>
        <v>0</v>
      </c>
      <c r="AR62" s="656">
        <f>AL62+AO62</f>
        <v>0</v>
      </c>
      <c r="AS62" s="656">
        <f>AM62+AP62</f>
        <v>0</v>
      </c>
      <c r="AT62" s="656">
        <f>SUM(AR62:AS62)</f>
        <v>0</v>
      </c>
    </row>
    <row r="63" spans="1:46" ht="16.5" customHeight="1" x14ac:dyDescent="0.25">
      <c r="A63" s="305"/>
      <c r="B63" s="305"/>
      <c r="C63" s="359"/>
      <c r="D63" s="359"/>
      <c r="E63" s="349"/>
      <c r="F63" s="301"/>
      <c r="G63" s="301"/>
      <c r="H63" s="227"/>
      <c r="I63" s="261"/>
      <c r="J63" s="261"/>
      <c r="K63" s="261"/>
      <c r="L63" s="301"/>
      <c r="M63" s="301"/>
      <c r="N63" s="227"/>
      <c r="O63" s="25"/>
      <c r="P63" s="25"/>
      <c r="Q63" s="713"/>
      <c r="R63" s="1077"/>
      <c r="S63" s="1077"/>
      <c r="T63" s="713"/>
      <c r="U63" s="713"/>
      <c r="V63" s="713"/>
      <c r="W63" s="713"/>
      <c r="X63" s="713"/>
      <c r="Y63" s="713"/>
      <c r="Z63" s="713"/>
      <c r="AA63" s="713"/>
      <c r="AB63" s="713"/>
      <c r="AC63" s="713"/>
      <c r="AD63" s="643">
        <f>H63</f>
        <v>0</v>
      </c>
      <c r="AE63" s="837"/>
      <c r="AF63" s="495">
        <f t="shared" ref="AF63:AF66" si="31">1-AE63</f>
        <v>1</v>
      </c>
      <c r="AG63" s="493"/>
      <c r="AH63" s="644">
        <f>N63</f>
        <v>0</v>
      </c>
      <c r="AI63" s="837"/>
      <c r="AJ63" s="264">
        <f t="shared" ref="AJ63:AJ70" si="32">1-AI63</f>
        <v>1</v>
      </c>
      <c r="AL63" s="656">
        <f>H63*AE63</f>
        <v>0</v>
      </c>
      <c r="AM63" s="656">
        <f>H63*AF63</f>
        <v>0</v>
      </c>
      <c r="AO63" s="656">
        <f t="shared" si="29"/>
        <v>0</v>
      </c>
      <c r="AP63" s="656">
        <f t="shared" si="30"/>
        <v>0</v>
      </c>
      <c r="AR63" s="656">
        <f t="shared" ref="AR63:AS70" si="33">AL63+AO63</f>
        <v>0</v>
      </c>
      <c r="AS63" s="656">
        <f t="shared" si="33"/>
        <v>0</v>
      </c>
      <c r="AT63" s="656">
        <f t="shared" ref="AT63:AT74" si="34">SUM(AR63:AS63)</f>
        <v>0</v>
      </c>
    </row>
    <row r="64" spans="1:46" ht="16.5" customHeight="1" x14ac:dyDescent="0.25">
      <c r="A64" s="305"/>
      <c r="B64" s="305"/>
      <c r="C64" s="359"/>
      <c r="D64" s="359"/>
      <c r="E64" s="349"/>
      <c r="F64" s="301"/>
      <c r="G64" s="301"/>
      <c r="H64" s="227"/>
      <c r="I64" s="261"/>
      <c r="J64" s="261"/>
      <c r="K64" s="261"/>
      <c r="L64" s="301"/>
      <c r="M64" s="301"/>
      <c r="N64" s="227"/>
      <c r="O64" s="25"/>
      <c r="P64" s="25"/>
      <c r="Q64" s="713"/>
      <c r="R64" s="1077"/>
      <c r="S64" s="1077"/>
      <c r="T64" s="713"/>
      <c r="U64" s="713"/>
      <c r="V64" s="713"/>
      <c r="W64" s="713"/>
      <c r="X64" s="713"/>
      <c r="Y64" s="713"/>
      <c r="Z64" s="713"/>
      <c r="AA64" s="713"/>
      <c r="AB64" s="713"/>
      <c r="AC64" s="713"/>
      <c r="AD64" s="643">
        <f>H64</f>
        <v>0</v>
      </c>
      <c r="AE64" s="837"/>
      <c r="AF64" s="495">
        <f t="shared" si="31"/>
        <v>1</v>
      </c>
      <c r="AG64" s="493"/>
      <c r="AH64" s="644">
        <f>N64</f>
        <v>0</v>
      </c>
      <c r="AI64" s="837"/>
      <c r="AJ64" s="264">
        <f t="shared" si="32"/>
        <v>1</v>
      </c>
      <c r="AL64" s="656">
        <f>H64*AE64</f>
        <v>0</v>
      </c>
      <c r="AM64" s="656">
        <f>H64*AF64</f>
        <v>0</v>
      </c>
      <c r="AO64" s="656">
        <f t="shared" si="29"/>
        <v>0</v>
      </c>
      <c r="AP64" s="656">
        <f t="shared" si="30"/>
        <v>0</v>
      </c>
      <c r="AR64" s="656">
        <f t="shared" si="33"/>
        <v>0</v>
      </c>
      <c r="AS64" s="656">
        <f t="shared" si="33"/>
        <v>0</v>
      </c>
      <c r="AT64" s="656">
        <f t="shared" si="34"/>
        <v>0</v>
      </c>
    </row>
    <row r="65" spans="1:57" ht="16.5" customHeight="1" x14ac:dyDescent="0.25">
      <c r="A65" s="305"/>
      <c r="B65" s="305"/>
      <c r="C65" s="359"/>
      <c r="D65" s="359"/>
      <c r="E65" s="349"/>
      <c r="F65" s="301"/>
      <c r="G65" s="301"/>
      <c r="H65" s="227"/>
      <c r="I65" s="261"/>
      <c r="J65" s="261"/>
      <c r="K65" s="261"/>
      <c r="L65" s="301"/>
      <c r="M65" s="301"/>
      <c r="N65" s="227"/>
      <c r="O65" s="25"/>
      <c r="P65" s="25"/>
      <c r="Q65" s="713"/>
      <c r="R65" s="1077"/>
      <c r="S65" s="1077"/>
      <c r="T65" s="713"/>
      <c r="U65" s="713"/>
      <c r="V65" s="713"/>
      <c r="W65" s="713"/>
      <c r="X65" s="713"/>
      <c r="Y65" s="713"/>
      <c r="Z65" s="713"/>
      <c r="AA65" s="713"/>
      <c r="AB65" s="713"/>
      <c r="AC65" s="713"/>
      <c r="AD65" s="643">
        <f>H65</f>
        <v>0</v>
      </c>
      <c r="AE65" s="837"/>
      <c r="AF65" s="495">
        <f t="shared" si="31"/>
        <v>1</v>
      </c>
      <c r="AG65" s="493"/>
      <c r="AH65" s="644">
        <f>N65</f>
        <v>0</v>
      </c>
      <c r="AI65" s="837"/>
      <c r="AJ65" s="264">
        <f t="shared" si="32"/>
        <v>1</v>
      </c>
      <c r="AL65" s="656">
        <f>H65*AE65</f>
        <v>0</v>
      </c>
      <c r="AM65" s="656">
        <f>H65*AF65</f>
        <v>0</v>
      </c>
      <c r="AO65" s="656">
        <f t="shared" si="29"/>
        <v>0</v>
      </c>
      <c r="AP65" s="656">
        <f t="shared" si="30"/>
        <v>0</v>
      </c>
      <c r="AR65" s="656">
        <f t="shared" si="33"/>
        <v>0</v>
      </c>
      <c r="AS65" s="656">
        <f t="shared" si="33"/>
        <v>0</v>
      </c>
      <c r="AT65" s="656">
        <f t="shared" si="34"/>
        <v>0</v>
      </c>
    </row>
    <row r="66" spans="1:57" ht="16.5" customHeight="1" x14ac:dyDescent="0.25">
      <c r="A66" s="305"/>
      <c r="B66" s="305"/>
      <c r="C66" s="359"/>
      <c r="D66" s="359"/>
      <c r="E66" s="349"/>
      <c r="F66" s="301"/>
      <c r="G66" s="301"/>
      <c r="H66" s="227"/>
      <c r="I66" s="261"/>
      <c r="J66" s="261"/>
      <c r="K66" s="261"/>
      <c r="L66" s="301"/>
      <c r="M66" s="301"/>
      <c r="N66" s="227"/>
      <c r="O66" s="25"/>
      <c r="P66" s="25"/>
      <c r="Q66" s="732"/>
      <c r="R66" s="1078"/>
      <c r="S66" s="1078"/>
      <c r="T66" s="732"/>
      <c r="U66" s="732"/>
      <c r="V66" s="732"/>
      <c r="W66" s="732"/>
      <c r="X66" s="732"/>
      <c r="Y66" s="732"/>
      <c r="Z66" s="732"/>
      <c r="AA66" s="732"/>
      <c r="AB66" s="732"/>
      <c r="AC66" s="732"/>
      <c r="AD66" s="648">
        <f>H66</f>
        <v>0</v>
      </c>
      <c r="AE66" s="837"/>
      <c r="AF66" s="649">
        <f t="shared" si="31"/>
        <v>1</v>
      </c>
      <c r="AG66" s="496"/>
      <c r="AH66" s="644">
        <f>N66</f>
        <v>0</v>
      </c>
      <c r="AI66" s="837"/>
      <c r="AJ66" s="264">
        <f t="shared" si="32"/>
        <v>1</v>
      </c>
      <c r="AL66" s="656">
        <f>H66*AE66</f>
        <v>0</v>
      </c>
      <c r="AM66" s="656">
        <f>H66*AF66</f>
        <v>0</v>
      </c>
      <c r="AO66" s="656">
        <f t="shared" si="29"/>
        <v>0</v>
      </c>
      <c r="AP66" s="656">
        <f t="shared" si="30"/>
        <v>0</v>
      </c>
      <c r="AR66" s="656">
        <f t="shared" si="33"/>
        <v>0</v>
      </c>
      <c r="AS66" s="656">
        <f t="shared" si="33"/>
        <v>0</v>
      </c>
      <c r="AT66" s="656">
        <f t="shared" si="34"/>
        <v>0</v>
      </c>
    </row>
    <row r="67" spans="1:57" s="56" customFormat="1" ht="4.5" customHeight="1" x14ac:dyDescent="0.25">
      <c r="A67" s="360"/>
      <c r="B67" s="360"/>
      <c r="C67" s="361"/>
      <c r="D67" s="361"/>
      <c r="E67" s="362"/>
      <c r="F67" s="363"/>
      <c r="G67" s="363"/>
      <c r="H67" s="363"/>
      <c r="I67" s="363"/>
      <c r="J67" s="363"/>
      <c r="K67" s="363"/>
      <c r="L67" s="364"/>
      <c r="M67" s="365"/>
      <c r="N67" s="389"/>
      <c r="O67" s="25"/>
      <c r="P67" s="25"/>
      <c r="Q67" s="732"/>
      <c r="R67" s="1078"/>
      <c r="S67" s="1078"/>
      <c r="T67" s="732"/>
      <c r="U67" s="732"/>
      <c r="V67" s="732"/>
      <c r="W67" s="732"/>
      <c r="X67" s="732"/>
      <c r="Y67" s="732"/>
      <c r="Z67" s="732"/>
      <c r="AA67" s="732"/>
      <c r="AB67" s="732"/>
      <c r="AC67" s="732"/>
      <c r="AD67" s="271"/>
      <c r="AE67" s="259"/>
      <c r="AF67" s="259"/>
      <c r="AG67" s="496"/>
      <c r="AH67" s="698"/>
      <c r="AI67" s="503"/>
      <c r="AJ67" s="273"/>
      <c r="AK67" s="325"/>
      <c r="AL67" s="656"/>
      <c r="AM67" s="656"/>
      <c r="AN67" s="325"/>
      <c r="AO67" s="656">
        <f t="shared" si="29"/>
        <v>0</v>
      </c>
      <c r="AP67" s="656">
        <f t="shared" si="30"/>
        <v>0</v>
      </c>
      <c r="AQ67" s="325"/>
      <c r="AR67" s="656">
        <f t="shared" si="33"/>
        <v>0</v>
      </c>
      <c r="AS67" s="656">
        <f t="shared" si="33"/>
        <v>0</v>
      </c>
      <c r="AT67" s="656">
        <f>SUM(AR67:AS67)</f>
        <v>0</v>
      </c>
      <c r="AU67" s="325"/>
      <c r="AV67" s="325"/>
      <c r="AW67" s="325"/>
      <c r="AX67" s="325"/>
      <c r="AY67" s="325"/>
      <c r="AZ67" s="325"/>
      <c r="BA67" s="325"/>
      <c r="BB67" s="325"/>
      <c r="BC67" s="325"/>
      <c r="BD67" s="325"/>
      <c r="BE67" s="325"/>
    </row>
    <row r="68" spans="1:57" ht="16.5" customHeight="1" x14ac:dyDescent="0.25">
      <c r="A68" s="1198" t="s">
        <v>540</v>
      </c>
      <c r="B68" s="1198"/>
      <c r="C68" s="1197"/>
      <c r="D68" s="1197"/>
      <c r="E68" s="368"/>
      <c r="F68" s="369"/>
      <c r="G68" s="369"/>
      <c r="H68" s="369"/>
      <c r="I68" s="369"/>
      <c r="J68" s="369"/>
      <c r="K68" s="369"/>
      <c r="L68" s="369"/>
      <c r="M68" s="369"/>
      <c r="N68" s="390" t="s">
        <v>433</v>
      </c>
      <c r="O68" s="184"/>
      <c r="P68" s="184"/>
      <c r="Q68" s="732"/>
      <c r="R68" s="1078"/>
      <c r="S68" s="1078"/>
      <c r="T68" s="732"/>
      <c r="U68" s="732"/>
      <c r="V68" s="732"/>
      <c r="W68" s="732"/>
      <c r="X68" s="732"/>
      <c r="Y68" s="732"/>
      <c r="Z68" s="732"/>
      <c r="AA68" s="732"/>
      <c r="AB68" s="732"/>
      <c r="AC68" s="732"/>
      <c r="AD68" s="271"/>
      <c r="AE68" s="259"/>
      <c r="AF68" s="259"/>
      <c r="AG68" s="246"/>
      <c r="AH68" s="262"/>
      <c r="AI68" s="272"/>
      <c r="AJ68" s="273"/>
      <c r="AL68" s="656"/>
      <c r="AM68" s="656"/>
      <c r="AO68" s="656"/>
      <c r="AP68" s="656"/>
      <c r="AR68" s="656"/>
      <c r="AS68" s="656"/>
      <c r="AT68" s="656">
        <f t="shared" si="34"/>
        <v>0</v>
      </c>
    </row>
    <row r="69" spans="1:57" ht="16.5" customHeight="1" x14ac:dyDescent="0.25">
      <c r="A69" s="370" t="s">
        <v>541</v>
      </c>
      <c r="B69" s="1338"/>
      <c r="C69" s="21" t="str">
        <f>'Federal Grad Student'!A20</f>
        <v xml:space="preserve"> Direct Compensation</v>
      </c>
      <c r="D69" s="21"/>
      <c r="E69" s="349"/>
      <c r="F69" s="301"/>
      <c r="G69" s="301"/>
      <c r="H69" s="301"/>
      <c r="I69" s="301"/>
      <c r="J69" s="301"/>
      <c r="K69" s="261"/>
      <c r="L69" s="301"/>
      <c r="M69" s="301"/>
      <c r="N69" s="391">
        <f>IF($L$187="Yes", 'Federal Grad Student'!C272, 0)</f>
        <v>0</v>
      </c>
      <c r="O69" s="25"/>
      <c r="P69" s="25"/>
      <c r="Q69" s="732"/>
      <c r="R69" s="1077"/>
      <c r="S69" s="1077"/>
      <c r="T69" s="713"/>
      <c r="U69" s="713"/>
      <c r="V69" s="713"/>
      <c r="W69" s="713"/>
      <c r="X69" s="713"/>
      <c r="Y69" s="713"/>
      <c r="Z69" s="713"/>
      <c r="AA69" s="713"/>
      <c r="AB69" s="713"/>
      <c r="AC69" s="713"/>
      <c r="AD69" s="492"/>
      <c r="AE69" s="261"/>
      <c r="AF69" s="272"/>
      <c r="AG69" s="262"/>
      <c r="AH69" s="644">
        <f>N69</f>
        <v>0</v>
      </c>
      <c r="AI69" s="504"/>
      <c r="AJ69" s="264">
        <f t="shared" si="32"/>
        <v>1</v>
      </c>
      <c r="AL69" s="656">
        <f>H69*AE69</f>
        <v>0</v>
      </c>
      <c r="AM69" s="656">
        <f>H69*AF69</f>
        <v>0</v>
      </c>
      <c r="AO69" s="656">
        <f>N69*AI69</f>
        <v>0</v>
      </c>
      <c r="AP69" s="656">
        <f>N69*AJ69</f>
        <v>0</v>
      </c>
      <c r="AR69" s="656">
        <f t="shared" si="33"/>
        <v>0</v>
      </c>
      <c r="AS69" s="656">
        <f t="shared" si="33"/>
        <v>0</v>
      </c>
      <c r="AT69" s="656">
        <f t="shared" si="34"/>
        <v>0</v>
      </c>
    </row>
    <row r="70" spans="1:57" ht="16.5" customHeight="1" x14ac:dyDescent="0.25">
      <c r="A70" s="1200" t="s">
        <v>548</v>
      </c>
      <c r="B70" s="1339"/>
      <c r="C70" s="21" t="str">
        <f>'Federal Grad Student'!A21</f>
        <v xml:space="preserve"> Health Insurance</v>
      </c>
      <c r="D70" s="21"/>
      <c r="E70" s="349"/>
      <c r="F70" s="301"/>
      <c r="G70" s="301"/>
      <c r="H70" s="301"/>
      <c r="I70" s="301"/>
      <c r="J70" s="301"/>
      <c r="K70" s="261"/>
      <c r="L70" s="301"/>
      <c r="M70" s="301"/>
      <c r="N70" s="392">
        <f>IF($L$187="Yes", 'Federal Grad Student'!C273, 0)</f>
        <v>0</v>
      </c>
      <c r="O70" s="25"/>
      <c r="P70" s="25"/>
      <c r="Q70" s="732"/>
      <c r="R70" s="1077"/>
      <c r="S70" s="1077"/>
      <c r="T70" s="713"/>
      <c r="U70" s="713"/>
      <c r="V70" s="713"/>
      <c r="W70" s="713"/>
      <c r="X70" s="713"/>
      <c r="Y70" s="713"/>
      <c r="Z70" s="713"/>
      <c r="AA70" s="713"/>
      <c r="AB70" s="713"/>
      <c r="AC70" s="713"/>
      <c r="AD70" s="492"/>
      <c r="AE70" s="261"/>
      <c r="AF70" s="272"/>
      <c r="AG70" s="262"/>
      <c r="AH70" s="644">
        <f>N70</f>
        <v>0</v>
      </c>
      <c r="AI70" s="504"/>
      <c r="AJ70" s="264">
        <f t="shared" si="32"/>
        <v>1</v>
      </c>
      <c r="AL70" s="656">
        <f>H70*AE70</f>
        <v>0</v>
      </c>
      <c r="AM70" s="656">
        <f>H70*AF70</f>
        <v>0</v>
      </c>
      <c r="AO70" s="656">
        <f>N70*AI70</f>
        <v>0</v>
      </c>
      <c r="AP70" s="656">
        <f>N70*AJ70</f>
        <v>0</v>
      </c>
      <c r="AR70" s="656">
        <f t="shared" si="33"/>
        <v>0</v>
      </c>
      <c r="AS70" s="656">
        <f t="shared" si="33"/>
        <v>0</v>
      </c>
      <c r="AT70" s="656">
        <f t="shared" si="34"/>
        <v>0</v>
      </c>
    </row>
    <row r="71" spans="1:57" ht="16.5" customHeight="1" x14ac:dyDescent="0.3">
      <c r="A71" s="372" t="s">
        <v>542</v>
      </c>
      <c r="B71" s="1340"/>
      <c r="C71" s="1199" t="str">
        <f>'Federal Grad Student'!A22</f>
        <v xml:space="preserve"> Tuition/Fees</v>
      </c>
      <c r="D71" s="1199"/>
      <c r="E71" s="374"/>
      <c r="F71" s="375"/>
      <c r="G71" s="375"/>
      <c r="H71" s="375"/>
      <c r="I71" s="375"/>
      <c r="J71" s="375"/>
      <c r="K71" s="358"/>
      <c r="L71" s="375"/>
      <c r="M71" s="375"/>
      <c r="N71" s="393">
        <f>IF($L$187="Yes", 'Federal Grad Student'!C274, 0)</f>
        <v>0</v>
      </c>
      <c r="O71" s="25"/>
      <c r="P71" s="25"/>
      <c r="Q71" s="1045" t="s">
        <v>45</v>
      </c>
      <c r="R71" s="1082"/>
      <c r="S71" s="1077"/>
      <c r="T71" s="713"/>
      <c r="U71" s="713"/>
      <c r="V71" s="713"/>
      <c r="W71" s="713"/>
      <c r="X71" s="713"/>
      <c r="Y71" s="713"/>
      <c r="Z71" s="713"/>
      <c r="AA71" s="713"/>
      <c r="AB71" s="713"/>
      <c r="AC71" s="713"/>
      <c r="AD71" s="492"/>
      <c r="AE71" s="261"/>
      <c r="AF71" s="272"/>
      <c r="AG71" s="262"/>
      <c r="AH71" s="262"/>
      <c r="AI71" s="261"/>
      <c r="AJ71" s="273"/>
      <c r="AL71" s="419"/>
      <c r="AM71" s="419"/>
      <c r="AO71" s="420"/>
      <c r="AP71" s="420"/>
      <c r="AR71" s="420"/>
      <c r="AS71" s="420"/>
      <c r="AT71" s="420"/>
    </row>
    <row r="72" spans="1:57" ht="4.5" customHeight="1" x14ac:dyDescent="0.3">
      <c r="A72" s="376"/>
      <c r="B72" s="376"/>
      <c r="C72" s="305"/>
      <c r="D72" s="305"/>
      <c r="E72" s="349"/>
      <c r="F72" s="301"/>
      <c r="G72" s="301"/>
      <c r="H72" s="301"/>
      <c r="I72" s="301"/>
      <c r="J72" s="301"/>
      <c r="K72" s="261"/>
      <c r="L72" s="375"/>
      <c r="M72" s="375"/>
      <c r="N72" s="608"/>
      <c r="O72" s="25"/>
      <c r="P72" s="25"/>
      <c r="Q72" s="1045"/>
      <c r="R72" s="1082"/>
      <c r="S72" s="1077"/>
      <c r="T72" s="713"/>
      <c r="U72" s="713"/>
      <c r="V72" s="713"/>
      <c r="W72" s="713"/>
      <c r="X72" s="713"/>
      <c r="Y72" s="713"/>
      <c r="Z72" s="713"/>
      <c r="AA72" s="713"/>
      <c r="AB72" s="713"/>
      <c r="AC72" s="713"/>
      <c r="AD72" s="492"/>
      <c r="AE72" s="261"/>
      <c r="AF72" s="272"/>
      <c r="AG72" s="262"/>
      <c r="AH72" s="262"/>
      <c r="AI72" s="261"/>
      <c r="AJ72" s="273"/>
      <c r="AL72" s="262"/>
      <c r="AM72" s="262"/>
      <c r="AO72" s="718"/>
      <c r="AP72" s="718"/>
      <c r="AR72" s="415"/>
      <c r="AS72" s="415"/>
      <c r="AT72" s="415">
        <f t="shared" si="34"/>
        <v>0</v>
      </c>
    </row>
    <row r="73" spans="1:57" ht="21.75" customHeight="1" x14ac:dyDescent="0.3">
      <c r="A73" s="1201" t="s">
        <v>543</v>
      </c>
      <c r="B73" s="1201"/>
      <c r="C73" s="378"/>
      <c r="D73" s="378"/>
      <c r="E73" s="379"/>
      <c r="F73" s="380"/>
      <c r="G73" s="380"/>
      <c r="H73" s="227"/>
      <c r="I73" s="380"/>
      <c r="K73" s="1203" t="s">
        <v>539</v>
      </c>
      <c r="L73" s="345"/>
      <c r="M73" s="1204" t="s">
        <v>263</v>
      </c>
      <c r="N73" s="487">
        <v>0</v>
      </c>
      <c r="O73" s="25"/>
      <c r="P73" s="25"/>
      <c r="Q73" s="713"/>
      <c r="R73" s="1077"/>
      <c r="S73" s="1077"/>
      <c r="T73" s="713"/>
      <c r="U73" s="713"/>
      <c r="V73" s="713"/>
      <c r="W73" s="713"/>
      <c r="X73" s="713"/>
      <c r="Y73" s="713"/>
      <c r="Z73" s="713"/>
      <c r="AA73" s="713"/>
      <c r="AB73" s="713"/>
      <c r="AC73" s="713"/>
      <c r="AD73" s="505"/>
      <c r="AE73" s="506"/>
      <c r="AF73" s="507"/>
      <c r="AG73" s="508"/>
      <c r="AH73" s="508"/>
      <c r="AI73" s="297">
        <v>0</v>
      </c>
      <c r="AJ73" s="500"/>
      <c r="AO73" s="719">
        <v>0</v>
      </c>
      <c r="AP73" s="719">
        <v>0</v>
      </c>
      <c r="AR73" s="720"/>
      <c r="AS73" s="720"/>
      <c r="AT73" s="415">
        <f t="shared" si="34"/>
        <v>0</v>
      </c>
    </row>
    <row r="74" spans="1:57" ht="16.5" customHeight="1" thickBot="1" x14ac:dyDescent="0.3">
      <c r="A74" s="1196" t="s">
        <v>66</v>
      </c>
      <c r="B74" s="1196"/>
      <c r="C74" s="1169"/>
      <c r="D74" s="1169"/>
      <c r="E74" s="1169"/>
      <c r="F74" s="1169"/>
      <c r="G74" s="1169"/>
      <c r="H74" s="1169"/>
      <c r="I74" s="1169"/>
      <c r="J74" s="1169"/>
      <c r="K74" s="1169"/>
      <c r="L74" s="1169"/>
      <c r="M74" s="1172"/>
      <c r="N74" s="395">
        <f>SUM(H61:H66)+SUM(N61:N66)+SUM(N69:N71)+H73+N73</f>
        <v>0</v>
      </c>
      <c r="O74" s="175"/>
      <c r="P74" s="175"/>
      <c r="Q74" s="713"/>
      <c r="R74" s="1077"/>
      <c r="S74" s="1077"/>
      <c r="T74" s="713"/>
      <c r="U74" s="713"/>
      <c r="V74" s="713"/>
      <c r="W74" s="713"/>
      <c r="X74" s="713"/>
      <c r="Y74" s="713"/>
      <c r="Z74" s="713"/>
      <c r="AA74" s="713"/>
      <c r="AB74" s="713"/>
      <c r="AC74" s="713"/>
      <c r="AD74" s="866"/>
      <c r="AE74" s="868"/>
      <c r="AL74" s="656">
        <f>SUM(AL62:AL71)</f>
        <v>0</v>
      </c>
      <c r="AM74" s="656">
        <f>SUM(AM62:AM71)</f>
        <v>0</v>
      </c>
      <c r="AO74" s="656">
        <f>SUM(AO62:AO71)</f>
        <v>0</v>
      </c>
      <c r="AP74" s="656">
        <f>SUM(AP62:AP71)</f>
        <v>0</v>
      </c>
      <c r="AR74" s="656">
        <f>SUM(AR62:AR71)</f>
        <v>0</v>
      </c>
      <c r="AS74" s="656">
        <f>SUM(AS62:AS71)</f>
        <v>0</v>
      </c>
      <c r="AT74" s="722">
        <f t="shared" si="34"/>
        <v>0</v>
      </c>
      <c r="AU74" s="762"/>
    </row>
    <row r="75" spans="1:57" ht="16.5" customHeight="1" x14ac:dyDescent="0.25">
      <c r="A75" s="602"/>
      <c r="B75" s="1370"/>
      <c r="C75" s="226"/>
      <c r="D75" s="226"/>
      <c r="E75" s="301"/>
      <c r="F75" s="301"/>
      <c r="G75" s="301"/>
      <c r="H75" s="301"/>
      <c r="I75" s="301"/>
      <c r="J75" s="301"/>
      <c r="K75" s="301"/>
      <c r="L75" s="301"/>
      <c r="M75" s="301"/>
      <c r="N75" s="396"/>
      <c r="O75" s="180"/>
      <c r="P75" s="180"/>
      <c r="Q75" s="713"/>
      <c r="R75" s="1077"/>
      <c r="S75" s="1077"/>
      <c r="T75" s="713"/>
      <c r="U75" s="713"/>
      <c r="V75" s="713"/>
      <c r="W75" s="713"/>
      <c r="X75" s="713"/>
      <c r="Y75" s="713"/>
      <c r="Z75" s="713"/>
      <c r="AA75" s="713"/>
      <c r="AB75" s="713"/>
      <c r="AC75" s="713"/>
      <c r="AD75" s="866"/>
      <c r="AE75" s="868"/>
      <c r="AR75" s="708"/>
      <c r="AS75" s="706"/>
    </row>
    <row r="76" spans="1:57" ht="16.5" customHeight="1" x14ac:dyDescent="0.25">
      <c r="A76" s="1187" t="s">
        <v>74</v>
      </c>
      <c r="B76" s="1187"/>
      <c r="C76" s="429"/>
      <c r="D76" s="429"/>
      <c r="E76" s="301"/>
      <c r="F76" s="301"/>
      <c r="G76" s="301"/>
      <c r="H76" s="301"/>
      <c r="I76" s="301"/>
      <c r="J76" s="301"/>
      <c r="K76" s="301"/>
      <c r="L76" s="301"/>
      <c r="M76" s="301"/>
      <c r="N76" s="397">
        <f>SUM(N26,N31,N36,N42,N46,N51,N59,N74)</f>
        <v>0</v>
      </c>
      <c r="O76" s="175"/>
      <c r="P76" s="175"/>
      <c r="Q76" s="713"/>
      <c r="R76" s="1077"/>
      <c r="S76" s="1077"/>
      <c r="T76" s="713"/>
      <c r="U76" s="713"/>
      <c r="V76" s="713"/>
      <c r="W76" s="713"/>
      <c r="X76" s="713"/>
      <c r="Y76" s="713"/>
      <c r="Z76" s="713"/>
      <c r="AA76" s="713"/>
      <c r="AB76" s="713"/>
      <c r="AC76" s="713"/>
      <c r="AD76" s="866"/>
      <c r="AE76" s="868"/>
      <c r="AP76" s="708" t="s">
        <v>165</v>
      </c>
      <c r="AR76" s="706">
        <f>AR26+AR36+AR42+AR46+AR54+AR58+AR74</f>
        <v>0</v>
      </c>
      <c r="AS76" s="706">
        <f>AS26+AS36+AS42+AS46+AS54+AS58+AS74</f>
        <v>0</v>
      </c>
      <c r="AT76" s="706">
        <f>AT26+AT36+AT42+AT46+AT54+AT58+AT74</f>
        <v>0</v>
      </c>
      <c r="AU76" s="509">
        <f>B96</f>
        <v>0</v>
      </c>
      <c r="AV76" s="509">
        <f>AU76-AT76</f>
        <v>0</v>
      </c>
    </row>
    <row r="77" spans="1:57" ht="16.5" customHeight="1" x14ac:dyDescent="0.25">
      <c r="A77" s="428"/>
      <c r="B77" s="428"/>
      <c r="C77" s="429"/>
      <c r="D77" s="429"/>
      <c r="E77" s="301"/>
      <c r="F77" s="301"/>
      <c r="G77" s="301"/>
      <c r="H77" s="301"/>
      <c r="I77" s="301"/>
      <c r="J77" s="301"/>
      <c r="K77" s="301"/>
      <c r="L77" s="301"/>
      <c r="M77" s="301"/>
      <c r="N77" s="338"/>
      <c r="O77" s="180"/>
      <c r="P77" s="180"/>
      <c r="Q77" s="713"/>
      <c r="R77" s="1077"/>
      <c r="S77" s="1077"/>
      <c r="T77" s="713"/>
      <c r="U77" s="713"/>
      <c r="V77" s="713"/>
      <c r="W77" s="713"/>
      <c r="X77" s="713"/>
      <c r="Y77" s="713"/>
      <c r="Z77" s="713"/>
      <c r="AA77" s="713"/>
      <c r="AB77" s="713"/>
      <c r="AC77" s="713"/>
      <c r="AD77" s="866"/>
      <c r="AE77" s="868"/>
      <c r="AP77" s="230" t="s">
        <v>179</v>
      </c>
      <c r="AR77" s="482">
        <f>L85</f>
        <v>0</v>
      </c>
      <c r="AS77" s="482">
        <f>L89</f>
        <v>0</v>
      </c>
      <c r="AT77" s="723" t="e">
        <f>(AR77*AR79)+(AS77*AS79)</f>
        <v>#DIV/0!</v>
      </c>
    </row>
    <row r="78" spans="1:57" ht="16.5" customHeight="1" x14ac:dyDescent="0.25">
      <c r="A78" s="1187" t="s">
        <v>23</v>
      </c>
      <c r="B78" s="1187"/>
      <c r="C78" s="342"/>
      <c r="D78" s="342"/>
      <c r="E78" s="301"/>
      <c r="F78" s="301"/>
      <c r="G78" s="301"/>
      <c r="H78" s="301"/>
      <c r="I78" s="301"/>
      <c r="J78" s="301"/>
      <c r="K78" s="301"/>
      <c r="L78" s="301"/>
      <c r="M78" s="301"/>
      <c r="N78" s="338"/>
      <c r="O78" s="180"/>
      <c r="P78" s="180"/>
      <c r="Q78" s="713"/>
      <c r="R78" s="1077"/>
      <c r="S78" s="1077"/>
      <c r="T78" s="713"/>
      <c r="U78" s="713"/>
      <c r="V78" s="713"/>
      <c r="W78" s="713"/>
      <c r="X78" s="713"/>
      <c r="Y78" s="713"/>
      <c r="Z78" s="713"/>
      <c r="AA78" s="713"/>
      <c r="AB78" s="713"/>
      <c r="AC78" s="713"/>
      <c r="AD78" s="866"/>
      <c r="AE78" s="868"/>
      <c r="AP78" s="708" t="s">
        <v>181</v>
      </c>
      <c r="AR78" s="706">
        <f>AR76*AR77</f>
        <v>0</v>
      </c>
      <c r="AS78" s="706">
        <f>AS76*AS77</f>
        <v>0</v>
      </c>
      <c r="AT78" s="724">
        <f>AR78+AS78</f>
        <v>0</v>
      </c>
    </row>
    <row r="79" spans="1:57" ht="16.5" customHeight="1" x14ac:dyDescent="0.25">
      <c r="A79" s="1171" t="s">
        <v>26</v>
      </c>
      <c r="B79" s="1171"/>
      <c r="C79" s="342"/>
      <c r="D79" s="342"/>
      <c r="E79" s="301"/>
      <c r="F79" s="301"/>
      <c r="G79" s="301"/>
      <c r="H79" s="301"/>
      <c r="I79" s="301"/>
      <c r="J79" s="301"/>
      <c r="K79" s="301"/>
      <c r="L79" s="398">
        <f>N76-N59+L57</f>
        <v>0</v>
      </c>
      <c r="M79" s="301"/>
      <c r="N79" s="338"/>
      <c r="O79" s="180"/>
      <c r="P79" s="180"/>
      <c r="Q79" s="732"/>
      <c r="R79" s="1078"/>
      <c r="S79" s="1078"/>
      <c r="T79" s="732"/>
      <c r="U79" s="732"/>
      <c r="V79" s="732"/>
      <c r="W79" s="732"/>
      <c r="X79" s="732"/>
      <c r="Y79" s="732"/>
      <c r="Z79" s="732"/>
      <c r="AA79" s="732"/>
      <c r="AB79" s="732"/>
      <c r="AC79" s="732"/>
      <c r="AD79" s="326"/>
      <c r="AE79" s="510"/>
      <c r="AF79" s="510"/>
      <c r="AG79" s="326"/>
      <c r="AH79" s="326"/>
      <c r="AI79" s="510"/>
      <c r="AJ79" s="510"/>
      <c r="AK79" s="326"/>
      <c r="AL79" s="326"/>
      <c r="AP79" s="708" t="s">
        <v>183</v>
      </c>
      <c r="AR79" s="725" t="e">
        <f>AR76/AT76</f>
        <v>#DIV/0!</v>
      </c>
      <c r="AS79" s="725" t="e">
        <f>AS76/AT76</f>
        <v>#DIV/0!</v>
      </c>
      <c r="AT79" s="726" t="e">
        <f>AR79+AS79</f>
        <v>#DIV/0!</v>
      </c>
      <c r="AU79" s="326"/>
      <c r="AV79" s="326"/>
      <c r="AW79" s="326"/>
      <c r="AX79" s="326"/>
      <c r="AY79" s="326"/>
      <c r="AZ79" s="326"/>
      <c r="BA79" s="326"/>
      <c r="BB79" s="326"/>
    </row>
    <row r="80" spans="1:57" ht="16.5" customHeight="1" thickBot="1" x14ac:dyDescent="0.3">
      <c r="A80" s="1171" t="s">
        <v>75</v>
      </c>
      <c r="B80" s="1171"/>
      <c r="C80" s="226"/>
      <c r="D80" s="226"/>
      <c r="E80" s="301"/>
      <c r="F80" s="301"/>
      <c r="G80" s="301"/>
      <c r="H80" s="301"/>
      <c r="I80" s="301"/>
      <c r="J80" s="301"/>
      <c r="K80" s="301"/>
      <c r="L80" s="398">
        <f>N76-M59</f>
        <v>0</v>
      </c>
      <c r="M80" s="301"/>
      <c r="N80" s="516"/>
      <c r="O80" s="58"/>
      <c r="P80" s="58"/>
      <c r="Q80" s="732"/>
      <c r="R80" s="1078"/>
      <c r="S80" s="1078"/>
      <c r="T80" s="732"/>
      <c r="U80" s="732"/>
      <c r="V80" s="732"/>
      <c r="W80" s="732"/>
      <c r="X80" s="732"/>
      <c r="Y80" s="732"/>
      <c r="Z80" s="732"/>
      <c r="AA80" s="732"/>
      <c r="AB80" s="732"/>
      <c r="AC80" s="732"/>
      <c r="AD80" s="326"/>
      <c r="AE80" s="510"/>
      <c r="AF80" s="510"/>
      <c r="AG80" s="326"/>
      <c r="AH80" s="326"/>
      <c r="AI80" s="510"/>
      <c r="AJ80" s="510"/>
      <c r="AK80" s="326"/>
      <c r="AL80" s="326"/>
      <c r="AO80" s="326"/>
      <c r="AP80" s="326"/>
      <c r="AQ80" s="326"/>
      <c r="AR80" s="326"/>
      <c r="AS80" s="326"/>
      <c r="AU80" s="326"/>
      <c r="AV80" s="326"/>
      <c r="AW80" s="326"/>
      <c r="AX80" s="326"/>
      <c r="AY80" s="326"/>
      <c r="AZ80" s="326"/>
      <c r="BA80" s="326"/>
      <c r="BB80" s="326"/>
    </row>
    <row r="81" spans="1:54" ht="16.5" customHeight="1" thickTop="1" thickBot="1" x14ac:dyDescent="0.3">
      <c r="A81" s="1193" t="s">
        <v>108</v>
      </c>
      <c r="B81" s="1193"/>
      <c r="C81" s="1142"/>
      <c r="D81" s="1142"/>
      <c r="E81" s="421"/>
      <c r="F81" s="421"/>
      <c r="G81" s="421"/>
      <c r="H81" s="421"/>
      <c r="I81" s="421"/>
      <c r="J81" s="421"/>
      <c r="K81" s="421"/>
      <c r="L81" s="421"/>
      <c r="M81" s="1173"/>
      <c r="N81" s="609">
        <v>0</v>
      </c>
      <c r="O81" s="175"/>
      <c r="P81" s="175"/>
      <c r="Q81" s="1024"/>
      <c r="R81" s="1081"/>
      <c r="S81" s="1078"/>
      <c r="T81" s="732"/>
      <c r="U81" s="732"/>
      <c r="V81" s="732"/>
      <c r="W81" s="732"/>
      <c r="X81" s="732"/>
      <c r="Y81" s="732"/>
      <c r="Z81" s="732"/>
      <c r="AA81" s="732"/>
      <c r="AB81" s="732"/>
      <c r="AC81" s="732"/>
      <c r="AD81" s="326"/>
      <c r="AE81" s="510"/>
      <c r="AF81" s="510"/>
      <c r="AG81" s="326"/>
      <c r="AH81" s="326"/>
      <c r="AI81" s="510"/>
      <c r="AJ81" s="510"/>
      <c r="AK81" s="326"/>
      <c r="AL81" s="326"/>
      <c r="AP81" s="708" t="s">
        <v>190</v>
      </c>
      <c r="AT81" s="706">
        <f>N76</f>
        <v>0</v>
      </c>
      <c r="AU81" s="326"/>
      <c r="AV81" s="326"/>
      <c r="AW81" s="326"/>
      <c r="AX81" s="326"/>
      <c r="AY81" s="326"/>
      <c r="AZ81" s="326"/>
      <c r="BA81" s="326"/>
      <c r="BB81" s="326"/>
    </row>
    <row r="82" spans="1:54" ht="16.5" customHeight="1" thickTop="1" x14ac:dyDescent="0.25">
      <c r="A82" s="602"/>
      <c r="B82" s="1370"/>
      <c r="C82" s="226"/>
      <c r="D82" s="226"/>
      <c r="E82" s="301"/>
      <c r="F82" s="301"/>
      <c r="G82" s="301"/>
      <c r="H82" s="301"/>
      <c r="I82" s="301"/>
      <c r="J82" s="301"/>
      <c r="K82" s="301"/>
      <c r="L82" s="301"/>
      <c r="M82" s="301"/>
      <c r="N82" s="517"/>
      <c r="O82" s="180"/>
      <c r="P82" s="180"/>
      <c r="Q82" s="732"/>
      <c r="R82" s="1078"/>
      <c r="S82" s="1078"/>
      <c r="T82" s="732"/>
      <c r="U82" s="732"/>
      <c r="V82" s="732"/>
      <c r="W82" s="732"/>
      <c r="X82" s="732"/>
      <c r="Y82" s="732"/>
      <c r="Z82" s="732"/>
      <c r="AA82" s="732"/>
      <c r="AB82" s="732"/>
      <c r="AC82" s="732"/>
      <c r="AD82" s="326"/>
      <c r="AE82" s="510"/>
      <c r="AF82" s="510"/>
      <c r="AG82" s="326"/>
      <c r="AH82" s="326"/>
      <c r="AI82" s="510"/>
      <c r="AJ82" s="510"/>
      <c r="AK82" s="326"/>
      <c r="AL82" s="326"/>
      <c r="AM82" s="326"/>
      <c r="AP82" s="708" t="s">
        <v>191</v>
      </c>
      <c r="AT82" s="706">
        <f>L80</f>
        <v>0</v>
      </c>
      <c r="AU82" s="326"/>
      <c r="AV82" s="326"/>
      <c r="AW82" s="326"/>
      <c r="AX82" s="326"/>
      <c r="AY82" s="326"/>
      <c r="AZ82" s="326"/>
      <c r="BA82" s="326"/>
      <c r="BB82" s="326"/>
    </row>
    <row r="83" spans="1:54" ht="24.75" hidden="1" customHeight="1" x14ac:dyDescent="0.25">
      <c r="A83" s="1114" t="s">
        <v>534</v>
      </c>
      <c r="B83" s="1376"/>
      <c r="C83" s="431"/>
      <c r="D83" s="431"/>
      <c r="E83" s="432"/>
      <c r="F83" s="432"/>
      <c r="G83" s="432"/>
      <c r="H83" s="432"/>
      <c r="I83" s="432"/>
      <c r="J83" s="432"/>
      <c r="K83" s="432"/>
      <c r="L83" s="610" t="s">
        <v>434</v>
      </c>
      <c r="M83" s="261"/>
      <c r="N83" s="518"/>
      <c r="O83" s="175"/>
      <c r="P83" s="175"/>
      <c r="Q83" s="713"/>
      <c r="R83" s="1077"/>
      <c r="S83" s="1077"/>
      <c r="T83" s="713"/>
      <c r="U83" s="713"/>
      <c r="V83" s="713"/>
      <c r="W83" s="713"/>
      <c r="X83" s="713"/>
      <c r="Y83" s="713"/>
      <c r="Z83" s="713"/>
      <c r="AA83" s="713"/>
      <c r="AB83" s="713"/>
      <c r="AC83" s="713"/>
      <c r="AD83" s="866"/>
      <c r="AE83" s="868"/>
      <c r="AM83" s="326"/>
      <c r="AN83" s="326"/>
    </row>
    <row r="84" spans="1:54" ht="16.5" hidden="1" customHeight="1" thickBot="1" x14ac:dyDescent="0.3">
      <c r="A84" s="1118" t="s">
        <v>532</v>
      </c>
      <c r="B84" s="1342"/>
      <c r="C84" s="404"/>
      <c r="D84" s="404"/>
      <c r="E84" s="261"/>
      <c r="F84" s="261"/>
      <c r="G84" s="261"/>
      <c r="H84" s="261"/>
      <c r="I84" s="261"/>
      <c r="J84" s="261"/>
      <c r="K84" s="261"/>
      <c r="L84" s="399" t="str">
        <f>IF(AND(E286="Yes",E288="Yes",L203="Yes"),AR100, IF(AND(E286="Yes", E288="No", L203="Yes"), AR76, " "))</f>
        <v xml:space="preserve"> </v>
      </c>
      <c r="M84" s="261"/>
      <c r="N84" s="518"/>
      <c r="O84" s="175"/>
      <c r="P84" s="175"/>
      <c r="Q84" s="713"/>
      <c r="R84" s="1077"/>
      <c r="S84" s="1077"/>
      <c r="T84" s="713"/>
      <c r="U84" s="713"/>
      <c r="V84" s="713"/>
      <c r="W84" s="713"/>
      <c r="X84" s="713"/>
      <c r="Y84" s="713"/>
      <c r="Z84" s="713"/>
      <c r="AA84" s="713"/>
      <c r="AB84" s="713"/>
      <c r="AC84" s="713"/>
      <c r="AD84" s="866"/>
      <c r="AE84" s="868"/>
      <c r="AN84" s="326"/>
    </row>
    <row r="85" spans="1:54" ht="16.5" hidden="1" customHeight="1" thickTop="1" thickBot="1" x14ac:dyDescent="0.3">
      <c r="A85" s="1120" t="s">
        <v>188</v>
      </c>
      <c r="B85" s="1343"/>
      <c r="C85" s="404"/>
      <c r="D85" s="404"/>
      <c r="E85" s="261"/>
      <c r="F85" s="261"/>
      <c r="G85" s="261"/>
      <c r="H85" s="261"/>
      <c r="I85" s="261"/>
      <c r="J85" s="261"/>
      <c r="K85" s="261"/>
      <c r="L85" s="612"/>
      <c r="M85" s="261"/>
      <c r="N85" s="518"/>
      <c r="O85" s="175"/>
      <c r="P85" s="175"/>
      <c r="Q85" s="713"/>
      <c r="R85" s="1077"/>
      <c r="S85" s="1077"/>
      <c r="T85" s="713"/>
      <c r="U85" s="713"/>
      <c r="V85" s="713"/>
      <c r="W85" s="713"/>
      <c r="X85" s="713"/>
      <c r="Y85" s="713"/>
      <c r="Z85" s="713"/>
      <c r="AA85" s="713"/>
      <c r="AB85" s="713"/>
      <c r="AC85" s="713"/>
      <c r="AD85" s="866"/>
      <c r="AE85" s="868"/>
    </row>
    <row r="86" spans="1:54" ht="16.5" hidden="1" customHeight="1" thickTop="1" x14ac:dyDescent="0.25">
      <c r="A86" s="1118" t="s">
        <v>530</v>
      </c>
      <c r="B86" s="1342"/>
      <c r="C86" s="404"/>
      <c r="D86" s="404"/>
      <c r="E86" s="261"/>
      <c r="F86" s="261"/>
      <c r="G86" s="261"/>
      <c r="H86" s="261"/>
      <c r="I86" s="261"/>
      <c r="J86" s="261"/>
      <c r="K86" s="261"/>
      <c r="L86" s="399" t="str">
        <f>IF(AND(E286="Yes",E288="Yes",L203="Yes"),AR102, IF(AND(E286="Yes", E288="No", L203="Yes"), AR78, " "))</f>
        <v xml:space="preserve"> </v>
      </c>
      <c r="M86" s="261"/>
      <c r="N86" s="518"/>
      <c r="O86" s="175"/>
      <c r="P86" s="175"/>
      <c r="Q86" s="713"/>
      <c r="R86" s="1077"/>
      <c r="S86" s="1077"/>
      <c r="T86" s="713"/>
      <c r="U86" s="713"/>
      <c r="V86" s="713"/>
      <c r="W86" s="713"/>
      <c r="X86" s="713"/>
      <c r="Y86" s="713"/>
      <c r="Z86" s="713"/>
      <c r="AA86" s="713"/>
      <c r="AB86" s="713"/>
      <c r="AC86" s="713"/>
      <c r="AD86" s="866"/>
      <c r="AE86" s="868"/>
    </row>
    <row r="87" spans="1:54" ht="8.25" hidden="1" customHeight="1" x14ac:dyDescent="0.3">
      <c r="A87" s="1122"/>
      <c r="B87" s="1344"/>
      <c r="C87" s="404"/>
      <c r="D87" s="404"/>
      <c r="E87" s="261"/>
      <c r="F87" s="261"/>
      <c r="G87" s="261"/>
      <c r="H87" s="261"/>
      <c r="I87" s="261"/>
      <c r="J87" s="406"/>
      <c r="K87" s="407"/>
      <c r="L87" s="434"/>
      <c r="M87" s="261"/>
      <c r="N87" s="518"/>
      <c r="O87" s="175"/>
      <c r="P87" s="175"/>
      <c r="Q87" s="713"/>
      <c r="R87" s="1077"/>
      <c r="S87" s="1077"/>
      <c r="T87" s="713"/>
      <c r="U87" s="713"/>
      <c r="V87" s="713"/>
      <c r="W87" s="713"/>
      <c r="X87" s="713"/>
      <c r="Y87" s="713"/>
      <c r="Z87" s="713"/>
      <c r="AA87" s="713"/>
      <c r="AB87" s="713"/>
      <c r="AC87" s="713"/>
      <c r="AD87" s="866"/>
      <c r="AE87" s="868"/>
    </row>
    <row r="88" spans="1:54" ht="16.5" hidden="1" customHeight="1" thickBot="1" x14ac:dyDescent="0.3">
      <c r="A88" s="1118" t="s">
        <v>533</v>
      </c>
      <c r="B88" s="1342"/>
      <c r="C88" s="404"/>
      <c r="D88" s="404"/>
      <c r="E88" s="261"/>
      <c r="F88" s="261"/>
      <c r="G88" s="261"/>
      <c r="H88" s="261"/>
      <c r="I88" s="261"/>
      <c r="J88" s="261"/>
      <c r="K88" s="261"/>
      <c r="L88" s="399" t="str">
        <f>IF(AND(E286="Yes",E288="Yes",L203="Yes"),AS100,IF(AND(E286="Yes",E288="No",L203="Yes"),AS76," "))</f>
        <v xml:space="preserve"> </v>
      </c>
      <c r="M88" s="261"/>
      <c r="N88" s="518"/>
      <c r="O88" s="175"/>
      <c r="P88" s="175"/>
      <c r="Q88" s="713"/>
      <c r="R88" s="1077"/>
      <c r="S88" s="1077"/>
      <c r="T88" s="713"/>
      <c r="U88" s="713"/>
      <c r="V88" s="713"/>
      <c r="W88" s="713"/>
      <c r="X88" s="713"/>
      <c r="Y88" s="713"/>
      <c r="Z88" s="713"/>
      <c r="AA88" s="713"/>
      <c r="AB88" s="713"/>
      <c r="AC88" s="713"/>
      <c r="AD88" s="866"/>
      <c r="AE88" s="868"/>
    </row>
    <row r="89" spans="1:54" ht="16.5" hidden="1" customHeight="1" thickTop="1" thickBot="1" x14ac:dyDescent="0.3">
      <c r="A89" s="1120" t="s">
        <v>52</v>
      </c>
      <c r="B89" s="1343"/>
      <c r="C89" s="404"/>
      <c r="D89" s="404"/>
      <c r="E89" s="261"/>
      <c r="F89" s="261"/>
      <c r="G89" s="261"/>
      <c r="H89" s="261"/>
      <c r="I89" s="261"/>
      <c r="J89" s="261"/>
      <c r="K89" s="261"/>
      <c r="L89" s="612"/>
      <c r="M89" s="261"/>
      <c r="N89" s="518"/>
      <c r="O89" s="175"/>
      <c r="P89" s="175"/>
      <c r="Q89" s="713"/>
      <c r="R89" s="1077"/>
      <c r="S89" s="1077"/>
      <c r="T89" s="713"/>
      <c r="U89" s="713"/>
      <c r="V89" s="713"/>
      <c r="W89" s="713"/>
      <c r="X89" s="713"/>
      <c r="Y89" s="713"/>
      <c r="Z89" s="713"/>
      <c r="AA89" s="713"/>
      <c r="AB89" s="713"/>
      <c r="AC89" s="713"/>
      <c r="AD89" s="866"/>
      <c r="AE89" s="868"/>
    </row>
    <row r="90" spans="1:54" ht="16.5" hidden="1" customHeight="1" thickTop="1" x14ac:dyDescent="0.25">
      <c r="A90" s="1141" t="s">
        <v>531</v>
      </c>
      <c r="B90" s="1342"/>
      <c r="C90" s="226"/>
      <c r="D90" s="226"/>
      <c r="E90" s="301"/>
      <c r="F90" s="301"/>
      <c r="G90" s="301"/>
      <c r="H90" s="301"/>
      <c r="I90" s="301"/>
      <c r="J90" s="301"/>
      <c r="K90" s="301"/>
      <c r="L90" s="613" t="str">
        <f>IF(AND(E286="Yes",E288="Yes",L203="Yes"),AS102,IF(AND(E286="Yes",E288="No",L203="Yes"),AS78," "))</f>
        <v xml:space="preserve"> </v>
      </c>
      <c r="M90" s="301"/>
      <c r="N90" s="518"/>
      <c r="O90" s="175"/>
      <c r="P90" s="175"/>
      <c r="Q90" s="713"/>
      <c r="R90" s="1077"/>
      <c r="S90" s="1077"/>
      <c r="T90" s="713"/>
      <c r="U90" s="713"/>
      <c r="V90" s="713"/>
      <c r="W90" s="713"/>
      <c r="X90" s="713"/>
      <c r="Y90" s="713"/>
      <c r="Z90" s="713"/>
      <c r="AA90" s="713"/>
      <c r="AB90" s="713"/>
      <c r="AC90" s="713"/>
      <c r="AD90" s="866"/>
      <c r="AE90" s="868"/>
    </row>
    <row r="91" spans="1:54" ht="5.25" hidden="1" customHeight="1" x14ac:dyDescent="0.3">
      <c r="A91" s="405"/>
      <c r="B91" s="405"/>
      <c r="C91" s="226"/>
      <c r="D91" s="226"/>
      <c r="E91" s="301"/>
      <c r="F91" s="301"/>
      <c r="G91" s="301"/>
      <c r="H91" s="301"/>
      <c r="I91" s="301"/>
      <c r="J91" s="406"/>
      <c r="K91" s="407"/>
      <c r="L91" s="434"/>
      <c r="M91" s="301"/>
      <c r="N91" s="518"/>
      <c r="O91" s="175"/>
      <c r="P91" s="175"/>
      <c r="Q91" s="713"/>
      <c r="R91" s="1077"/>
      <c r="S91" s="1077"/>
      <c r="T91" s="713"/>
      <c r="U91" s="713"/>
      <c r="V91" s="713"/>
      <c r="W91" s="713"/>
      <c r="X91" s="713"/>
      <c r="Y91" s="713"/>
      <c r="Z91" s="713"/>
      <c r="AA91" s="713"/>
      <c r="AB91" s="713"/>
      <c r="AC91" s="713"/>
      <c r="AD91" s="866"/>
      <c r="AE91" s="868"/>
    </row>
    <row r="92" spans="1:54" ht="16.5" hidden="1" customHeight="1" x14ac:dyDescent="0.25">
      <c r="A92" s="403"/>
      <c r="B92" s="403"/>
      <c r="C92" s="412" t="str">
        <f>IF(L203="Yes", "Combined F&amp;A Rate", " ")</f>
        <v xml:space="preserve"> </v>
      </c>
      <c r="D92" s="412"/>
      <c r="E92" s="413" t="str">
        <f>IF(L203="Yes", AT77, " ")</f>
        <v xml:space="preserve"> </v>
      </c>
      <c r="F92" s="230"/>
      <c r="G92" s="866"/>
      <c r="H92" s="301"/>
      <c r="I92" s="301"/>
      <c r="J92" s="410" t="str">
        <f>IF(L203="Yes", "Amount of Base Subtotal", " ")</f>
        <v xml:space="preserve"> </v>
      </c>
      <c r="K92" s="614" t="str">
        <f>IF(L203="Yes", L84+L88, " ")</f>
        <v xml:space="preserve"> </v>
      </c>
      <c r="L92" s="435"/>
      <c r="M92" s="301"/>
      <c r="N92" s="518"/>
      <c r="O92" s="175"/>
      <c r="P92" s="175"/>
      <c r="Q92" s="713"/>
      <c r="R92" s="1077"/>
      <c r="S92" s="1077"/>
      <c r="T92" s="713"/>
      <c r="U92" s="713"/>
      <c r="V92" s="713"/>
      <c r="W92" s="713"/>
      <c r="X92" s="713"/>
      <c r="Y92" s="713"/>
      <c r="Z92" s="713"/>
      <c r="AA92" s="713"/>
      <c r="AB92" s="713"/>
      <c r="AC92" s="713"/>
      <c r="AD92" s="866"/>
      <c r="AE92" s="868"/>
    </row>
    <row r="93" spans="1:54" ht="16.5" hidden="1" customHeight="1" thickBot="1" x14ac:dyDescent="0.3">
      <c r="A93" s="408" t="s">
        <v>156</v>
      </c>
      <c r="B93" s="1345"/>
      <c r="C93" s="409"/>
      <c r="D93" s="409"/>
      <c r="E93" s="375"/>
      <c r="F93" s="375"/>
      <c r="G93" s="375"/>
      <c r="H93" s="375"/>
      <c r="I93" s="375"/>
      <c r="J93" s="375"/>
      <c r="K93" s="375"/>
      <c r="L93" s="402" t="str">
        <f>IF(AND(E286="Yes",E288="Yes",L203="Yes"),L86+L90, IF(AND(E286="Yes", E288="No", L203="Yes"), L86+L90, " "))</f>
        <v xml:space="preserve"> </v>
      </c>
      <c r="M93" s="760"/>
      <c r="N93" s="518"/>
      <c r="O93" s="175"/>
      <c r="P93" s="175"/>
      <c r="Q93" s="713"/>
      <c r="R93" s="1077"/>
      <c r="S93" s="1077"/>
      <c r="T93" s="713"/>
      <c r="U93" s="713"/>
      <c r="V93" s="713"/>
      <c r="W93" s="713"/>
      <c r="X93" s="713"/>
      <c r="Y93" s="713"/>
      <c r="Z93" s="713"/>
      <c r="AA93" s="713"/>
      <c r="AB93" s="713"/>
      <c r="AC93" s="713"/>
      <c r="AD93" s="866"/>
      <c r="AE93" s="868"/>
      <c r="AP93" s="731" t="s">
        <v>193</v>
      </c>
      <c r="AT93" s="706">
        <f>N81</f>
        <v>0</v>
      </c>
    </row>
    <row r="94" spans="1:54" ht="16.5" hidden="1" customHeight="1" x14ac:dyDescent="0.25">
      <c r="A94" s="602"/>
      <c r="B94" s="1370"/>
      <c r="C94" s="226"/>
      <c r="D94" s="226"/>
      <c r="E94" s="262"/>
      <c r="F94" s="262"/>
      <c r="G94" s="262"/>
      <c r="H94" s="262"/>
      <c r="I94" s="262"/>
      <c r="J94" s="262"/>
      <c r="K94" s="415"/>
      <c r="L94" s="301"/>
      <c r="M94" s="301"/>
      <c r="N94" s="416"/>
      <c r="O94" s="174"/>
      <c r="P94" s="174"/>
      <c r="Q94" s="713"/>
      <c r="R94" s="1077"/>
      <c r="S94" s="1077"/>
      <c r="T94" s="713"/>
      <c r="U94" s="713"/>
      <c r="V94" s="713"/>
      <c r="W94" s="713"/>
      <c r="X94" s="713"/>
      <c r="Y94" s="713"/>
      <c r="Z94" s="713"/>
      <c r="AA94" s="713"/>
      <c r="AB94" s="713"/>
      <c r="AC94" s="713"/>
      <c r="AD94" s="866"/>
      <c r="AE94" s="868"/>
      <c r="AO94" s="326"/>
      <c r="AP94" s="731" t="s">
        <v>192</v>
      </c>
      <c r="AQ94" s="326"/>
      <c r="AR94" s="427"/>
      <c r="AS94" s="656"/>
      <c r="AT94" s="724">
        <f>AT82</f>
        <v>0</v>
      </c>
    </row>
    <row r="95" spans="1:54" ht="16.5" customHeight="1" thickBot="1" x14ac:dyDescent="0.3">
      <c r="A95" s="1187" t="s">
        <v>49</v>
      </c>
      <c r="B95" s="1187"/>
      <c r="C95" s="342"/>
      <c r="D95" s="342"/>
      <c r="E95" s="301"/>
      <c r="F95" s="301"/>
      <c r="G95" s="301"/>
      <c r="H95" s="301"/>
      <c r="I95" s="301"/>
      <c r="J95" s="301"/>
      <c r="K95" s="301"/>
      <c r="L95" s="301"/>
      <c r="M95" s="301"/>
      <c r="N95" s="338"/>
      <c r="O95" s="180"/>
      <c r="P95" s="180"/>
      <c r="Q95" s="732"/>
      <c r="R95" s="1078"/>
      <c r="S95" s="1078"/>
      <c r="T95" s="732"/>
      <c r="U95" s="732"/>
      <c r="V95" s="732"/>
      <c r="W95" s="732"/>
      <c r="X95" s="732"/>
      <c r="Y95" s="732"/>
      <c r="Z95" s="732"/>
      <c r="AA95" s="732"/>
      <c r="AB95" s="732"/>
      <c r="AC95" s="732"/>
      <c r="AD95" s="326"/>
      <c r="AE95" s="510"/>
      <c r="AF95" s="510"/>
      <c r="AG95" s="326"/>
      <c r="AH95" s="326"/>
      <c r="AI95" s="510"/>
      <c r="AJ95" s="510"/>
      <c r="AK95" s="326"/>
      <c r="AL95" s="326"/>
      <c r="AM95" s="326"/>
      <c r="AN95" s="326"/>
      <c r="AO95" s="326"/>
      <c r="AP95" s="731" t="s">
        <v>163</v>
      </c>
      <c r="AQ95" s="326"/>
      <c r="AR95" s="326"/>
      <c r="AT95" s="732">
        <f>IF(AT94&gt;AT93, 0, AT93-AT94)</f>
        <v>0</v>
      </c>
      <c r="AU95" s="326"/>
      <c r="AV95" s="326"/>
      <c r="AW95" s="326"/>
      <c r="AX95" s="326"/>
      <c r="AY95" s="326"/>
      <c r="AZ95" s="326"/>
      <c r="BA95" s="326"/>
      <c r="BB95" s="326"/>
    </row>
    <row r="96" spans="1:54" ht="16.5" customHeight="1" thickTop="1" thickBot="1" x14ac:dyDescent="0.3">
      <c r="A96" s="1171" t="s">
        <v>24</v>
      </c>
      <c r="B96" s="411">
        <f>IF(AND(E286="Yes",E288="Yes"),N81-L59-H73-N71-N51-N31+N185+N128,IF(AND(E286="Yes",E288="No"),L80-L59-H73-N71-N51-N31+N185+N128, N76-N236-N237-N238))</f>
        <v>0</v>
      </c>
      <c r="C96" s="226"/>
      <c r="D96" s="226"/>
      <c r="E96" s="301"/>
      <c r="F96" s="301"/>
      <c r="G96" s="1171" t="s">
        <v>52</v>
      </c>
      <c r="H96" s="1095">
        <v>0.69</v>
      </c>
      <c r="I96" s="301"/>
      <c r="J96" s="301"/>
      <c r="K96" s="301"/>
      <c r="M96" s="1202" t="s">
        <v>48</v>
      </c>
      <c r="N96" s="414">
        <f>IF(L203="No", B96*H96, " ")</f>
        <v>0</v>
      </c>
      <c r="O96" s="180"/>
      <c r="P96" s="180"/>
      <c r="Q96" s="1024"/>
      <c r="R96" s="1081"/>
      <c r="S96" s="1078"/>
      <c r="T96" s="732"/>
      <c r="U96" s="732"/>
      <c r="V96" s="732"/>
      <c r="W96" s="732"/>
      <c r="X96" s="732"/>
      <c r="Y96" s="732"/>
      <c r="Z96" s="732"/>
      <c r="AA96" s="732"/>
      <c r="AB96" s="732"/>
      <c r="AC96" s="732"/>
      <c r="AD96" s="326"/>
      <c r="AE96" s="510"/>
      <c r="AF96" s="510"/>
      <c r="AG96" s="326"/>
      <c r="AH96" s="326"/>
      <c r="AI96" s="510"/>
      <c r="AJ96" s="510"/>
      <c r="AK96" s="326"/>
      <c r="AL96" s="326"/>
      <c r="AM96" s="326"/>
      <c r="AN96" s="326"/>
      <c r="AP96" s="708" t="s">
        <v>164</v>
      </c>
      <c r="AR96" s="725" t="e">
        <f>AR76/AT76</f>
        <v>#DIV/0!</v>
      </c>
      <c r="AS96" s="725" t="e">
        <f>AS76/AT76</f>
        <v>#DIV/0!</v>
      </c>
      <c r="AT96" s="733" t="e">
        <f>AR96+AS96</f>
        <v>#DIV/0!</v>
      </c>
      <c r="AU96" s="326"/>
      <c r="AV96" s="326"/>
      <c r="AW96" s="326"/>
      <c r="AX96" s="326"/>
      <c r="AY96" s="326"/>
      <c r="AZ96" s="326"/>
      <c r="BA96" s="326"/>
      <c r="BB96" s="326"/>
    </row>
    <row r="97" spans="1:71" ht="16.5" customHeight="1" thickTop="1" thickBot="1" x14ac:dyDescent="0.3">
      <c r="A97" s="1"/>
      <c r="B97" s="1171"/>
      <c r="C97" s="226"/>
      <c r="D97" s="226"/>
      <c r="E97" s="301"/>
      <c r="F97" s="301"/>
      <c r="G97" s="301"/>
      <c r="H97" s="301"/>
      <c r="I97" s="301"/>
      <c r="J97" s="301"/>
      <c r="K97" s="301"/>
      <c r="M97" s="433"/>
      <c r="N97" s="520"/>
      <c r="O97" s="174"/>
      <c r="P97" s="174"/>
      <c r="Q97" s="732"/>
      <c r="R97" s="1078"/>
      <c r="S97" s="1078"/>
      <c r="T97" s="732"/>
      <c r="U97" s="732"/>
      <c r="V97" s="732"/>
      <c r="W97" s="732"/>
      <c r="X97" s="732"/>
      <c r="Y97" s="732"/>
      <c r="Z97" s="732"/>
      <c r="AA97" s="732"/>
      <c r="AB97" s="732"/>
      <c r="AC97" s="732"/>
      <c r="AD97" s="326"/>
      <c r="AE97" s="510"/>
      <c r="AF97" s="510"/>
      <c r="AG97" s="326"/>
      <c r="AH97" s="326"/>
      <c r="AI97" s="510"/>
      <c r="AJ97" s="510"/>
      <c r="AK97" s="326"/>
      <c r="AL97" s="326"/>
      <c r="AM97" s="326"/>
      <c r="AN97" s="326"/>
      <c r="AT97" s="326"/>
      <c r="AU97" s="326"/>
      <c r="AV97" s="326"/>
      <c r="AW97" s="326"/>
      <c r="AX97" s="326"/>
      <c r="AY97" s="326"/>
      <c r="AZ97" s="326"/>
      <c r="BA97" s="326"/>
      <c r="BB97" s="326"/>
    </row>
    <row r="98" spans="1:71" ht="16.5" hidden="1" customHeight="1" x14ac:dyDescent="0.25">
      <c r="A98" s="602"/>
      <c r="B98" s="1370"/>
      <c r="C98" s="226"/>
      <c r="D98" s="226"/>
      <c r="E98" s="262"/>
      <c r="F98" s="262"/>
      <c r="G98" s="262"/>
      <c r="H98" s="262"/>
      <c r="I98" s="262"/>
      <c r="J98" s="262"/>
      <c r="K98" s="415"/>
      <c r="L98" s="301"/>
      <c r="M98" s="301"/>
      <c r="N98" s="416"/>
      <c r="O98" s="174"/>
      <c r="P98" s="174"/>
      <c r="Q98" s="713"/>
      <c r="R98" s="1077"/>
      <c r="S98" s="1077"/>
      <c r="T98" s="713"/>
      <c r="U98" s="713"/>
      <c r="V98" s="713"/>
      <c r="W98" s="713"/>
      <c r="X98" s="713"/>
      <c r="Y98" s="713"/>
      <c r="Z98" s="713"/>
      <c r="AA98" s="713"/>
      <c r="AB98" s="713"/>
      <c r="AC98" s="713"/>
      <c r="AD98" s="866"/>
      <c r="AE98" s="868"/>
      <c r="AP98" s="708" t="s">
        <v>180</v>
      </c>
      <c r="AR98" s="656" t="e">
        <f>#REF!*#REF!</f>
        <v>#REF!</v>
      </c>
      <c r="AS98" s="656" t="e">
        <f>#REF!*#REF!</f>
        <v>#REF!</v>
      </c>
      <c r="AT98" s="713" t="e">
        <f>#REF!*#REF!</f>
        <v>#REF!</v>
      </c>
    </row>
    <row r="99" spans="1:71" ht="16.5" hidden="1" customHeight="1" x14ac:dyDescent="0.25">
      <c r="A99" s="602"/>
      <c r="B99" s="1370"/>
      <c r="C99" s="226"/>
      <c r="D99" s="226"/>
      <c r="E99" s="262"/>
      <c r="F99" s="262"/>
      <c r="G99" s="262"/>
      <c r="H99" s="262"/>
      <c r="I99" s="262"/>
      <c r="J99" s="262"/>
      <c r="K99" s="415"/>
      <c r="L99" s="301"/>
      <c r="M99" s="301"/>
      <c r="N99" s="416"/>
      <c r="O99" s="174"/>
      <c r="P99" s="174"/>
      <c r="Q99" s="713"/>
      <c r="R99" s="1077"/>
      <c r="S99" s="1077"/>
      <c r="T99" s="713"/>
      <c r="U99" s="713"/>
      <c r="V99" s="713"/>
      <c r="W99" s="713"/>
      <c r="X99" s="713"/>
      <c r="Y99" s="713"/>
      <c r="Z99" s="713"/>
      <c r="AA99" s="713"/>
      <c r="AB99" s="713"/>
      <c r="AC99" s="713"/>
      <c r="AD99" s="866"/>
      <c r="AE99" s="868"/>
    </row>
    <row r="100" spans="1:71" ht="16.5" customHeight="1" x14ac:dyDescent="0.25">
      <c r="A100" s="1202" t="s">
        <v>18</v>
      </c>
      <c r="B100" s="1367"/>
      <c r="C100" s="418"/>
      <c r="D100" s="418"/>
      <c r="E100" s="419"/>
      <c r="F100" s="419"/>
      <c r="G100" s="419"/>
      <c r="H100" s="419"/>
      <c r="I100" s="419"/>
      <c r="J100" s="419"/>
      <c r="K100" s="420"/>
      <c r="L100" s="421"/>
      <c r="M100" s="421"/>
      <c r="N100" s="422">
        <f>IF(AND(E286="Yes",E288="Yes",L203="No"),N81+M59+N96,IF(AND(E286="Yes",E288="No",L203="No"),N76+N96,IF(AND(E286="Yes",E288="Yes",L203="Yes"),N81+M59+L93,IF(AND(E286="Yes",E288="No",L203="Yes"),N76+L93,IF(AND(E286="No", E288="No", L203="No"),N76+N96, N76+N96)))))</f>
        <v>0</v>
      </c>
      <c r="O100" s="175"/>
      <c r="P100" s="175"/>
      <c r="Q100" s="713"/>
      <c r="R100" s="1077"/>
      <c r="S100" s="1077"/>
      <c r="T100" s="713"/>
      <c r="U100" s="713"/>
      <c r="V100" s="713"/>
      <c r="W100" s="713"/>
      <c r="X100" s="713"/>
      <c r="Y100" s="713"/>
      <c r="Z100" s="713"/>
      <c r="AA100" s="713"/>
      <c r="AB100" s="713"/>
      <c r="AC100" s="713"/>
      <c r="AD100" s="866"/>
      <c r="AE100" s="868"/>
      <c r="AP100" s="708" t="s">
        <v>184</v>
      </c>
      <c r="AR100" s="656" t="e">
        <f>AR76+#REF!</f>
        <v>#REF!</v>
      </c>
      <c r="AS100" s="656" t="e">
        <f>AS76+#REF!</f>
        <v>#REF!</v>
      </c>
      <c r="AT100" s="656" t="e">
        <f>AR100+AS100</f>
        <v>#REF!</v>
      </c>
    </row>
    <row r="101" spans="1:71" ht="16.5" customHeight="1" x14ac:dyDescent="0.25">
      <c r="A101" s="617"/>
      <c r="B101" s="617"/>
      <c r="C101" s="618"/>
      <c r="D101" s="618"/>
      <c r="E101" s="230"/>
      <c r="F101" s="230"/>
      <c r="G101" s="866"/>
      <c r="H101" s="230"/>
      <c r="I101" s="230"/>
      <c r="J101" s="230"/>
      <c r="K101" s="230"/>
      <c r="L101" s="619"/>
      <c r="M101" s="619"/>
      <c r="N101" s="620"/>
      <c r="O101" s="185"/>
      <c r="P101" s="185"/>
      <c r="Q101" s="713"/>
      <c r="R101" s="1077"/>
      <c r="S101" s="1077"/>
      <c r="T101" s="713"/>
      <c r="U101" s="713"/>
      <c r="V101" s="713"/>
      <c r="W101" s="713"/>
      <c r="X101" s="713"/>
      <c r="Y101" s="713"/>
      <c r="Z101" s="713"/>
      <c r="AA101" s="713"/>
      <c r="AB101" s="713"/>
      <c r="AC101" s="713"/>
      <c r="AD101" s="866"/>
      <c r="AE101" s="868"/>
      <c r="AP101" s="230" t="s">
        <v>179</v>
      </c>
      <c r="AR101" s="482">
        <f>L85</f>
        <v>0</v>
      </c>
      <c r="AS101" s="482">
        <f>L89</f>
        <v>0</v>
      </c>
      <c r="AT101" s="737" t="e">
        <f>#REF!</f>
        <v>#REF!</v>
      </c>
    </row>
    <row r="102" spans="1:71" ht="14.4" thickBot="1" x14ac:dyDescent="0.3">
      <c r="A102" s="621"/>
      <c r="B102" s="843"/>
      <c r="C102" s="622"/>
      <c r="D102" s="844"/>
      <c r="E102" s="623"/>
      <c r="F102" s="623"/>
      <c r="G102" s="845"/>
      <c r="H102" s="623"/>
      <c r="I102" s="623"/>
      <c r="J102" s="623"/>
      <c r="K102" s="623"/>
      <c r="L102" s="623"/>
      <c r="M102" s="623"/>
      <c r="N102" s="623"/>
      <c r="O102" s="186"/>
      <c r="P102" s="186"/>
      <c r="Q102" s="713"/>
      <c r="R102" s="1077"/>
      <c r="S102" s="1077"/>
      <c r="T102" s="713"/>
      <c r="U102" s="713"/>
      <c r="V102" s="713"/>
      <c r="W102" s="713"/>
      <c r="X102" s="713"/>
      <c r="Y102" s="713"/>
      <c r="Z102" s="713"/>
      <c r="AA102" s="713"/>
      <c r="AB102" s="713"/>
      <c r="AC102" s="713"/>
      <c r="AD102" s="866"/>
      <c r="AE102" s="868"/>
      <c r="AP102" s="739" t="s">
        <v>182</v>
      </c>
      <c r="AQ102" s="231"/>
      <c r="AR102" s="706" t="e">
        <f>AR78+AR98</f>
        <v>#REF!</v>
      </c>
      <c r="AS102" s="706" t="e">
        <f>AS78+AS98</f>
        <v>#REF!</v>
      </c>
      <c r="AT102" s="706" t="e">
        <f>AR102+AS102</f>
        <v>#REF!</v>
      </c>
    </row>
    <row r="103" spans="1:71" x14ac:dyDescent="0.25">
      <c r="A103" s="863" t="s">
        <v>441</v>
      </c>
      <c r="B103" s="863"/>
      <c r="C103" s="624"/>
      <c r="D103" s="864"/>
      <c r="E103" s="625"/>
      <c r="F103" s="625"/>
      <c r="G103" s="865"/>
      <c r="H103" s="625"/>
      <c r="I103" s="625"/>
      <c r="J103" s="625"/>
      <c r="K103" s="625"/>
      <c r="L103" s="625"/>
      <c r="M103" s="625"/>
      <c r="N103" s="625"/>
      <c r="O103" s="186"/>
      <c r="P103" s="186"/>
      <c r="AR103" s="713" t="e">
        <f>AR100*AR101</f>
        <v>#REF!</v>
      </c>
      <c r="AS103" s="713" t="e">
        <f>AS100*AS101</f>
        <v>#REF!</v>
      </c>
      <c r="AT103" s="713" t="e">
        <f>AT100*#REF!</f>
        <v>#REF!</v>
      </c>
    </row>
    <row r="104" spans="1:71" ht="25.5" customHeight="1" thickBot="1" x14ac:dyDescent="0.4">
      <c r="A104" s="832" t="s">
        <v>430</v>
      </c>
      <c r="B104" s="832"/>
      <c r="C104" s="453"/>
      <c r="D104" s="453"/>
      <c r="E104" s="328"/>
      <c r="F104" s="328"/>
      <c r="G104" s="328"/>
      <c r="H104" s="328"/>
      <c r="I104" s="328"/>
      <c r="J104" s="328"/>
      <c r="K104" s="328"/>
      <c r="L104" s="328"/>
      <c r="M104" s="328"/>
      <c r="N104" s="443"/>
      <c r="O104" s="90"/>
      <c r="P104" s="90"/>
      <c r="Q104" s="326"/>
      <c r="R104" s="640"/>
      <c r="S104" s="640"/>
      <c r="T104" s="326"/>
      <c r="U104" s="326"/>
      <c r="V104" s="326"/>
      <c r="W104" s="326"/>
      <c r="X104" s="326"/>
      <c r="Y104" s="326"/>
      <c r="Z104" s="326"/>
      <c r="AA104" s="326"/>
      <c r="AB104" s="326"/>
      <c r="AC104" s="326"/>
      <c r="AD104" s="326"/>
      <c r="AE104" s="510"/>
      <c r="AF104" s="510"/>
      <c r="AG104" s="326"/>
      <c r="AH104" s="326"/>
      <c r="AI104" s="510"/>
      <c r="AJ104" s="510"/>
      <c r="AK104" s="326"/>
      <c r="AL104" s="326"/>
      <c r="AM104" s="326"/>
      <c r="AN104" s="326"/>
      <c r="AO104" s="326"/>
      <c r="AP104" s="731" t="s">
        <v>183</v>
      </c>
      <c r="AQ104" s="326"/>
      <c r="AR104" s="894" t="e">
        <f>AR100/AT100</f>
        <v>#REF!</v>
      </c>
      <c r="AS104" s="894" t="e">
        <f>AS100/AT100</f>
        <v>#REF!</v>
      </c>
      <c r="AT104" s="726" t="e">
        <f>AR104+AS104</f>
        <v>#REF!</v>
      </c>
      <c r="AU104" s="326"/>
      <c r="AV104" s="326"/>
      <c r="AW104" s="326"/>
      <c r="AX104" s="326"/>
      <c r="AY104" s="326"/>
      <c r="AZ104" s="326"/>
      <c r="BA104" s="326"/>
      <c r="BB104" s="326"/>
      <c r="BC104" s="326"/>
      <c r="BD104" s="326"/>
      <c r="BE104" s="326"/>
      <c r="BF104" s="13"/>
      <c r="BG104" s="13"/>
      <c r="BH104" s="13"/>
      <c r="BI104" s="13"/>
      <c r="BJ104" s="13"/>
      <c r="BK104" s="13"/>
      <c r="BL104" s="13"/>
      <c r="BM104" s="13"/>
      <c r="BN104" s="13"/>
      <c r="BO104" s="13"/>
      <c r="BP104" s="13"/>
      <c r="BQ104" s="13"/>
      <c r="BR104" s="13"/>
      <c r="BS104" s="13"/>
    </row>
    <row r="105" spans="1:71" s="15" customFormat="1" ht="15" customHeight="1" thickTop="1" thickBot="1" x14ac:dyDescent="0.3">
      <c r="A105" s="1226" t="s">
        <v>423</v>
      </c>
      <c r="B105" s="1226"/>
      <c r="C105" s="319"/>
      <c r="D105" s="319"/>
      <c r="E105" s="320"/>
      <c r="F105" s="320"/>
      <c r="G105" s="320"/>
      <c r="H105" s="438"/>
      <c r="I105" s="438"/>
      <c r="J105" s="320"/>
      <c r="K105" s="320"/>
      <c r="L105" s="321" t="s">
        <v>60</v>
      </c>
      <c r="M105" s="320"/>
      <c r="N105" s="1225" t="s">
        <v>272</v>
      </c>
      <c r="O105" s="190"/>
      <c r="P105" s="190"/>
      <c r="Q105" s="326"/>
      <c r="R105" s="640"/>
      <c r="S105" s="640"/>
      <c r="T105" s="326"/>
      <c r="U105" s="326"/>
      <c r="V105" s="326"/>
      <c r="W105" s="326"/>
      <c r="X105" s="326"/>
      <c r="Y105" s="326"/>
      <c r="Z105" s="326"/>
      <c r="AA105" s="326"/>
      <c r="AB105" s="326"/>
      <c r="AC105" s="326"/>
      <c r="AD105" s="326"/>
      <c r="AE105" s="510"/>
      <c r="AF105" s="510"/>
      <c r="AG105" s="326"/>
      <c r="AH105" s="326"/>
      <c r="AI105" s="510"/>
      <c r="AJ105" s="510"/>
      <c r="AK105" s="326"/>
      <c r="AL105" s="326"/>
      <c r="AM105" s="326"/>
      <c r="AN105" s="326"/>
      <c r="AO105" s="326"/>
      <c r="AP105" s="326"/>
      <c r="AQ105" s="326"/>
      <c r="AR105" s="326"/>
      <c r="AS105" s="326"/>
      <c r="AT105" s="326"/>
      <c r="AU105" s="326"/>
      <c r="AV105" s="326"/>
      <c r="AW105" s="326"/>
      <c r="AX105" s="326"/>
      <c r="AY105" s="326"/>
      <c r="AZ105" s="326"/>
      <c r="BA105" s="326"/>
      <c r="BB105" s="326"/>
      <c r="BC105" s="326"/>
      <c r="BD105" s="326"/>
      <c r="BE105" s="326"/>
      <c r="BF105" s="13"/>
      <c r="BG105" s="13"/>
      <c r="BH105" s="13"/>
      <c r="BI105" s="13"/>
      <c r="BJ105" s="13"/>
      <c r="BK105" s="13"/>
      <c r="BL105" s="13"/>
      <c r="BM105" s="13"/>
      <c r="BN105" s="13"/>
      <c r="BO105" s="13"/>
      <c r="BP105" s="13"/>
      <c r="BQ105" s="13"/>
      <c r="BR105" s="13"/>
      <c r="BS105" s="13"/>
    </row>
    <row r="106" spans="1:71" ht="16.5" customHeight="1" thickTop="1" x14ac:dyDescent="0.25">
      <c r="A106" s="1093" t="s">
        <v>129</v>
      </c>
      <c r="B106" s="1093"/>
      <c r="C106" s="438"/>
      <c r="D106" s="438"/>
      <c r="E106" s="438"/>
      <c r="F106" s="438"/>
      <c r="G106" s="438"/>
      <c r="H106" s="438"/>
      <c r="I106" s="438"/>
      <c r="J106" s="438"/>
      <c r="K106" s="439"/>
      <c r="L106" s="438"/>
      <c r="M106" s="438"/>
      <c r="N106" s="320"/>
      <c r="O106" s="23"/>
      <c r="P106" s="23"/>
      <c r="S106" s="640"/>
      <c r="T106" s="326"/>
      <c r="U106" s="326"/>
      <c r="V106" s="326"/>
      <c r="W106" s="326"/>
      <c r="X106" s="326"/>
      <c r="Y106" s="326"/>
      <c r="Z106" s="326"/>
      <c r="AA106" s="326"/>
      <c r="AB106" s="326"/>
      <c r="AC106" s="326"/>
      <c r="AD106" s="326"/>
      <c r="AE106" s="510"/>
      <c r="AF106" s="510"/>
      <c r="AG106" s="326"/>
      <c r="AH106" s="326"/>
      <c r="AI106" s="510"/>
      <c r="AJ106" s="510"/>
      <c r="AK106" s="326"/>
      <c r="AL106" s="326"/>
      <c r="AM106" s="326"/>
      <c r="AN106" s="326"/>
      <c r="AO106" s="326"/>
      <c r="AP106" s="326"/>
      <c r="AQ106" s="326"/>
      <c r="AR106" s="326"/>
      <c r="AS106" s="326"/>
      <c r="AT106" s="326"/>
      <c r="AU106" s="326"/>
      <c r="AV106" s="326"/>
      <c r="AW106" s="326"/>
      <c r="AX106" s="326"/>
      <c r="AY106" s="326"/>
      <c r="AZ106" s="326"/>
      <c r="BA106" s="326"/>
      <c r="BB106" s="326"/>
      <c r="BC106" s="326"/>
      <c r="BD106" s="326"/>
      <c r="BE106" s="326"/>
      <c r="BF106" s="13"/>
      <c r="BG106" s="13"/>
      <c r="BH106" s="13"/>
      <c r="BI106" s="13"/>
      <c r="BJ106" s="13"/>
      <c r="BK106" s="13"/>
      <c r="BL106" s="13"/>
      <c r="BM106" s="13"/>
      <c r="BN106" s="13"/>
      <c r="BO106" s="13"/>
      <c r="BP106" s="13"/>
      <c r="BQ106" s="13"/>
      <c r="BR106" s="13"/>
      <c r="BS106" s="13"/>
    </row>
    <row r="107" spans="1:71" ht="16.8" customHeight="1" thickBot="1" x14ac:dyDescent="0.3">
      <c r="A107" s="1093" t="s">
        <v>196</v>
      </c>
      <c r="B107" s="1093"/>
      <c r="C107" s="438"/>
      <c r="D107" s="438"/>
      <c r="E107" s="438"/>
      <c r="F107" s="438"/>
      <c r="G107" s="438"/>
      <c r="H107" s="438"/>
      <c r="I107" s="438"/>
      <c r="J107" s="438"/>
      <c r="K107" s="439"/>
      <c r="L107" s="438"/>
      <c r="M107" s="438"/>
      <c r="N107" s="320"/>
      <c r="O107" s="23"/>
      <c r="P107" s="23"/>
      <c r="R107" s="640"/>
      <c r="S107" s="640"/>
      <c r="T107" s="326"/>
      <c r="U107" s="326"/>
      <c r="V107" s="326"/>
      <c r="W107" s="326"/>
      <c r="X107" s="326"/>
      <c r="Y107" s="326"/>
      <c r="Z107" s="326"/>
      <c r="AA107" s="326"/>
      <c r="AB107" s="326"/>
      <c r="AC107" s="326"/>
      <c r="AD107" s="326"/>
      <c r="AE107" s="510"/>
      <c r="AF107" s="510"/>
      <c r="AG107" s="326"/>
      <c r="AH107" s="326"/>
      <c r="AI107" s="510"/>
      <c r="AJ107" s="510"/>
      <c r="AK107" s="326"/>
      <c r="AL107" s="326"/>
      <c r="AM107" s="326"/>
      <c r="AN107" s="326"/>
      <c r="AO107" s="326"/>
      <c r="AP107" s="326"/>
      <c r="AQ107" s="326"/>
      <c r="AR107" s="326"/>
      <c r="AS107" s="326"/>
      <c r="AT107" s="326"/>
      <c r="AU107" s="326"/>
      <c r="AV107" s="326"/>
      <c r="AW107" s="326"/>
      <c r="AX107" s="326"/>
      <c r="AY107" s="326"/>
      <c r="AZ107" s="326"/>
      <c r="BA107" s="326"/>
      <c r="BB107" s="326"/>
      <c r="BC107" s="326"/>
      <c r="BD107" s="326"/>
      <c r="BE107" s="326"/>
      <c r="BF107" s="13"/>
      <c r="BG107" s="13"/>
      <c r="BH107" s="13"/>
      <c r="BI107" s="13"/>
      <c r="BJ107" s="13"/>
      <c r="BK107" s="13"/>
      <c r="BL107" s="13"/>
      <c r="BM107" s="13"/>
      <c r="BN107" s="13"/>
      <c r="BO107" s="13"/>
      <c r="BP107" s="13"/>
      <c r="BQ107" s="13"/>
      <c r="BR107" s="13"/>
      <c r="BS107" s="13"/>
    </row>
    <row r="108" spans="1:71" ht="16.8" hidden="1" customHeight="1" x14ac:dyDescent="0.25">
      <c r="A108" s="1057"/>
      <c r="B108" s="1057"/>
      <c r="C108" s="1057"/>
      <c r="D108" s="1057"/>
      <c r="E108" s="1057"/>
      <c r="F108" s="1057"/>
      <c r="G108" s="1057"/>
      <c r="H108" s="1057"/>
      <c r="I108" s="1057"/>
      <c r="J108" s="1057"/>
      <c r="K108" s="1058"/>
      <c r="L108" s="81" t="s">
        <v>194</v>
      </c>
      <c r="M108" s="1059"/>
      <c r="N108" s="1059"/>
      <c r="O108" s="23"/>
      <c r="P108" s="23"/>
      <c r="R108" s="640"/>
      <c r="S108" s="640"/>
      <c r="T108" s="326"/>
      <c r="U108" s="326"/>
      <c r="V108" s="326"/>
      <c r="W108" s="326"/>
      <c r="X108" s="326"/>
      <c r="Y108" s="326"/>
      <c r="Z108" s="326"/>
      <c r="AA108" s="326"/>
      <c r="AB108" s="326"/>
      <c r="AC108" s="326"/>
      <c r="AD108" s="326"/>
      <c r="AE108" s="510"/>
      <c r="AF108" s="510"/>
      <c r="AG108" s="326"/>
      <c r="AH108" s="326"/>
      <c r="AI108" s="510"/>
      <c r="AJ108" s="510"/>
      <c r="AK108" s="326"/>
      <c r="AL108" s="326"/>
      <c r="AM108" s="326"/>
      <c r="AN108" s="326"/>
      <c r="AO108" s="326"/>
      <c r="AP108" s="326"/>
      <c r="AQ108" s="326"/>
      <c r="AR108" s="326"/>
      <c r="AS108" s="326"/>
      <c r="AT108" s="326"/>
      <c r="AU108" s="326"/>
      <c r="AV108" s="326"/>
      <c r="AW108" s="326"/>
      <c r="AX108" s="326"/>
      <c r="AY108" s="326"/>
      <c r="AZ108" s="326"/>
      <c r="BA108" s="326"/>
      <c r="BB108" s="326"/>
      <c r="BC108" s="326"/>
      <c r="BD108" s="326"/>
      <c r="BE108" s="326"/>
      <c r="BF108" s="13"/>
      <c r="BG108" s="13"/>
      <c r="BH108" s="13"/>
      <c r="BI108" s="13"/>
      <c r="BJ108" s="13"/>
      <c r="BK108" s="13"/>
      <c r="BL108" s="13"/>
      <c r="BM108" s="13"/>
      <c r="BN108" s="13"/>
      <c r="BO108" s="13"/>
      <c r="BP108" s="13"/>
      <c r="BQ108" s="13"/>
      <c r="BR108" s="13"/>
      <c r="BS108" s="13"/>
    </row>
    <row r="109" spans="1:71" ht="16.8" hidden="1" customHeight="1" x14ac:dyDescent="0.25">
      <c r="A109" s="1057"/>
      <c r="B109" s="1057"/>
      <c r="C109" s="1057"/>
      <c r="D109" s="1057"/>
      <c r="E109" s="1057"/>
      <c r="F109" s="1057"/>
      <c r="G109" s="1057"/>
      <c r="H109" s="1057"/>
      <c r="I109" s="1057"/>
      <c r="J109" s="1057"/>
      <c r="K109" s="1058"/>
      <c r="L109" s="1301"/>
      <c r="M109" s="1059"/>
      <c r="N109" s="1059"/>
      <c r="O109" s="23"/>
      <c r="P109" s="23"/>
      <c r="R109" s="640"/>
      <c r="S109" s="640"/>
      <c r="T109" s="326"/>
      <c r="U109" s="326"/>
      <c r="V109" s="326"/>
      <c r="W109" s="326"/>
      <c r="X109" s="326"/>
      <c r="Y109" s="326"/>
      <c r="Z109" s="326"/>
      <c r="AA109" s="326"/>
      <c r="AB109" s="326"/>
      <c r="AC109" s="326"/>
      <c r="AD109" s="326"/>
      <c r="AE109" s="510"/>
      <c r="AF109" s="510"/>
      <c r="AG109" s="326"/>
      <c r="AH109" s="326"/>
      <c r="AI109" s="510"/>
      <c r="AJ109" s="510"/>
      <c r="AK109" s="326"/>
      <c r="AL109" s="326"/>
      <c r="AM109" s="326"/>
      <c r="AN109" s="326"/>
      <c r="AO109" s="326"/>
      <c r="AP109" s="326"/>
      <c r="AQ109" s="326"/>
      <c r="AR109" s="326"/>
      <c r="AS109" s="326"/>
      <c r="AT109" s="326"/>
      <c r="AU109" s="326"/>
      <c r="AV109" s="326"/>
      <c r="AW109" s="326"/>
      <c r="AX109" s="326"/>
      <c r="AY109" s="326"/>
      <c r="AZ109" s="326"/>
      <c r="BA109" s="326"/>
      <c r="BB109" s="326"/>
      <c r="BC109" s="326"/>
      <c r="BD109" s="326"/>
      <c r="BE109" s="326"/>
      <c r="BF109" s="13"/>
      <c r="BG109" s="13"/>
      <c r="BH109" s="13"/>
      <c r="BI109" s="13"/>
      <c r="BJ109" s="13"/>
      <c r="BK109" s="13"/>
      <c r="BL109" s="13"/>
      <c r="BM109" s="13"/>
      <c r="BN109" s="13"/>
      <c r="BO109" s="13"/>
      <c r="BP109" s="13"/>
      <c r="BQ109" s="13"/>
      <c r="BR109" s="13"/>
      <c r="BS109" s="13"/>
    </row>
    <row r="110" spans="1:71" ht="16.8" hidden="1" customHeight="1" x14ac:dyDescent="0.25">
      <c r="A110" s="1057"/>
      <c r="B110" s="1057"/>
      <c r="C110" s="1057"/>
      <c r="D110" s="1057"/>
      <c r="E110" s="1057"/>
      <c r="F110" s="1057"/>
      <c r="G110" s="1057"/>
      <c r="H110" s="1057"/>
      <c r="I110" s="1057"/>
      <c r="J110" s="1057"/>
      <c r="K110" s="1058"/>
      <c r="L110" s="1301">
        <v>75000</v>
      </c>
      <c r="M110" s="1059"/>
      <c r="N110" s="1059"/>
      <c r="O110" s="23"/>
      <c r="P110" s="23"/>
      <c r="R110" s="640"/>
      <c r="S110" s="640"/>
      <c r="T110" s="326"/>
      <c r="U110" s="326"/>
      <c r="V110" s="326"/>
      <c r="W110" s="326"/>
      <c r="X110" s="326"/>
      <c r="Y110" s="326"/>
      <c r="Z110" s="326"/>
      <c r="AA110" s="326"/>
      <c r="AB110" s="326"/>
      <c r="AC110" s="326"/>
      <c r="AD110" s="326"/>
      <c r="AE110" s="510"/>
      <c r="AF110" s="510"/>
      <c r="AG110" s="326"/>
      <c r="AH110" s="326"/>
      <c r="AI110" s="510"/>
      <c r="AJ110" s="510"/>
      <c r="AK110" s="326"/>
      <c r="AL110" s="326"/>
      <c r="AM110" s="326"/>
      <c r="AN110" s="326"/>
      <c r="AO110" s="326"/>
      <c r="AP110" s="326"/>
      <c r="AQ110" s="326"/>
      <c r="AR110" s="326"/>
      <c r="AS110" s="326"/>
      <c r="AT110" s="326"/>
      <c r="AU110" s="326"/>
      <c r="AV110" s="326"/>
      <c r="AW110" s="326"/>
      <c r="AX110" s="326"/>
      <c r="AY110" s="326"/>
      <c r="AZ110" s="326"/>
      <c r="BA110" s="326"/>
      <c r="BB110" s="326"/>
      <c r="BC110" s="326"/>
      <c r="BD110" s="326"/>
      <c r="BE110" s="326"/>
      <c r="BF110" s="13"/>
      <c r="BG110" s="13"/>
      <c r="BH110" s="13"/>
      <c r="BI110" s="13"/>
      <c r="BJ110" s="13"/>
      <c r="BK110" s="13"/>
      <c r="BL110" s="13"/>
      <c r="BM110" s="13"/>
      <c r="BN110" s="13"/>
      <c r="BO110" s="13"/>
      <c r="BP110" s="13"/>
      <c r="BQ110" s="13"/>
      <c r="BR110" s="13"/>
      <c r="BS110" s="13"/>
    </row>
    <row r="111" spans="1:71" ht="16.8" hidden="1" customHeight="1" x14ac:dyDescent="0.25">
      <c r="A111" s="1057"/>
      <c r="B111" s="1057"/>
      <c r="C111" s="1057"/>
      <c r="D111" s="1057"/>
      <c r="E111" s="1057"/>
      <c r="F111" s="1057"/>
      <c r="G111" s="1057"/>
      <c r="H111" s="1057"/>
      <c r="I111" s="1057"/>
      <c r="J111" s="1057"/>
      <c r="K111" s="1058"/>
      <c r="L111" s="1301">
        <v>90000</v>
      </c>
      <c r="M111" s="1059"/>
      <c r="N111" s="1059"/>
      <c r="O111" s="23"/>
      <c r="P111" s="23"/>
      <c r="R111" s="640"/>
      <c r="S111" s="640"/>
      <c r="T111" s="326"/>
      <c r="U111" s="326"/>
      <c r="V111" s="326"/>
      <c r="W111" s="326"/>
      <c r="X111" s="326"/>
      <c r="Y111" s="326"/>
      <c r="Z111" s="326"/>
      <c r="AA111" s="326"/>
      <c r="AB111" s="326"/>
      <c r="AC111" s="326"/>
      <c r="AD111" s="326"/>
      <c r="AE111" s="510"/>
      <c r="AF111" s="510"/>
      <c r="AG111" s="326"/>
      <c r="AH111" s="326"/>
      <c r="AI111" s="510"/>
      <c r="AJ111" s="510"/>
      <c r="AK111" s="326"/>
      <c r="AL111" s="326"/>
      <c r="AM111" s="326"/>
      <c r="AN111" s="326"/>
      <c r="AO111" s="326"/>
      <c r="AP111" s="326"/>
      <c r="AQ111" s="326"/>
      <c r="AR111" s="326"/>
      <c r="AS111" s="326"/>
      <c r="AT111" s="326"/>
      <c r="AU111" s="326"/>
      <c r="AV111" s="326"/>
      <c r="AW111" s="326"/>
      <c r="AX111" s="326"/>
      <c r="AY111" s="326"/>
      <c r="AZ111" s="326"/>
      <c r="BA111" s="326"/>
      <c r="BB111" s="326"/>
      <c r="BC111" s="326"/>
      <c r="BD111" s="326"/>
      <c r="BE111" s="326"/>
      <c r="BF111" s="13"/>
      <c r="BG111" s="13"/>
      <c r="BH111" s="13"/>
      <c r="BI111" s="13"/>
      <c r="BJ111" s="13"/>
      <c r="BK111" s="13"/>
      <c r="BL111" s="13"/>
      <c r="BM111" s="13"/>
      <c r="BN111" s="13"/>
      <c r="BO111" s="13"/>
      <c r="BP111" s="13"/>
      <c r="BQ111" s="13"/>
      <c r="BR111" s="13"/>
      <c r="BS111" s="13"/>
    </row>
    <row r="112" spans="1:71" ht="16.8" hidden="1" customHeight="1" x14ac:dyDescent="0.25">
      <c r="A112" s="1057"/>
      <c r="B112" s="1057"/>
      <c r="C112" s="1057"/>
      <c r="D112" s="1057"/>
      <c r="E112" s="1057"/>
      <c r="F112" s="1057"/>
      <c r="G112" s="1057"/>
      <c r="H112" s="1057"/>
      <c r="I112" s="1057"/>
      <c r="J112" s="1057"/>
      <c r="K112" s="1058"/>
      <c r="L112" s="1301">
        <v>95000</v>
      </c>
      <c r="M112" s="1059"/>
      <c r="N112" s="1059"/>
      <c r="O112" s="23"/>
      <c r="P112" s="23"/>
      <c r="R112" s="640"/>
      <c r="S112" s="640"/>
      <c r="T112" s="326"/>
      <c r="U112" s="326"/>
      <c r="V112" s="326"/>
      <c r="W112" s="326"/>
      <c r="X112" s="326"/>
      <c r="Y112" s="326"/>
      <c r="Z112" s="326"/>
      <c r="AA112" s="326"/>
      <c r="AB112" s="326"/>
      <c r="AC112" s="326"/>
      <c r="AD112" s="326"/>
      <c r="AE112" s="510"/>
      <c r="AF112" s="510"/>
      <c r="AG112" s="326"/>
      <c r="AH112" s="326"/>
      <c r="AI112" s="510"/>
      <c r="AJ112" s="510"/>
      <c r="AK112" s="326"/>
      <c r="AL112" s="326"/>
      <c r="AM112" s="326"/>
      <c r="AN112" s="326"/>
      <c r="AO112" s="326"/>
      <c r="AP112" s="326"/>
      <c r="AQ112" s="326"/>
      <c r="AR112" s="326"/>
      <c r="AS112" s="326"/>
      <c r="AT112" s="326"/>
      <c r="AU112" s="326"/>
      <c r="AV112" s="326"/>
      <c r="AW112" s="326"/>
      <c r="AX112" s="326"/>
      <c r="AY112" s="326"/>
      <c r="AZ112" s="326"/>
      <c r="BA112" s="326"/>
      <c r="BB112" s="326"/>
      <c r="BC112" s="326"/>
      <c r="BD112" s="326"/>
      <c r="BE112" s="326"/>
      <c r="BF112" s="13"/>
      <c r="BG112" s="13"/>
      <c r="BH112" s="13"/>
      <c r="BI112" s="13"/>
      <c r="BJ112" s="13"/>
      <c r="BK112" s="13"/>
      <c r="BL112" s="13"/>
      <c r="BM112" s="13"/>
      <c r="BN112" s="13"/>
      <c r="BO112" s="13"/>
      <c r="BP112" s="13"/>
      <c r="BQ112" s="13"/>
      <c r="BR112" s="13"/>
      <c r="BS112" s="13"/>
    </row>
    <row r="113" spans="1:71" ht="16.8" hidden="1" customHeight="1" x14ac:dyDescent="0.25">
      <c r="A113" s="1057"/>
      <c r="B113" s="1057"/>
      <c r="C113" s="1057"/>
      <c r="D113" s="1057"/>
      <c r="E113" s="1057"/>
      <c r="F113" s="1057"/>
      <c r="G113" s="1057"/>
      <c r="H113" s="1057"/>
      <c r="I113" s="1057"/>
      <c r="J113" s="1057"/>
      <c r="K113" s="1058"/>
      <c r="L113" s="1301">
        <v>100000</v>
      </c>
      <c r="M113" s="1059"/>
      <c r="N113" s="1059"/>
      <c r="O113" s="23"/>
      <c r="P113" s="23"/>
      <c r="R113" s="640"/>
      <c r="S113" s="640"/>
      <c r="T113" s="326"/>
      <c r="U113" s="326"/>
      <c r="V113" s="326"/>
      <c r="W113" s="326"/>
      <c r="X113" s="326"/>
      <c r="Y113" s="326"/>
      <c r="Z113" s="326"/>
      <c r="AA113" s="326"/>
      <c r="AB113" s="326"/>
      <c r="AC113" s="326"/>
      <c r="AD113" s="326"/>
      <c r="AE113" s="510"/>
      <c r="AF113" s="510"/>
      <c r="AG113" s="326"/>
      <c r="AH113" s="326"/>
      <c r="AI113" s="510"/>
      <c r="AJ113" s="510"/>
      <c r="AK113" s="326"/>
      <c r="AL113" s="326"/>
      <c r="AM113" s="326"/>
      <c r="AN113" s="326"/>
      <c r="AO113" s="326"/>
      <c r="AP113" s="326"/>
      <c r="AQ113" s="326"/>
      <c r="AR113" s="326"/>
      <c r="AS113" s="326"/>
      <c r="AT113" s="326"/>
      <c r="AU113" s="326"/>
      <c r="AV113" s="326"/>
      <c r="AW113" s="326"/>
      <c r="AX113" s="326"/>
      <c r="AY113" s="326"/>
      <c r="AZ113" s="326"/>
      <c r="BA113" s="326"/>
      <c r="BB113" s="326"/>
      <c r="BC113" s="326"/>
      <c r="BD113" s="326"/>
      <c r="BE113" s="326"/>
      <c r="BF113" s="13"/>
      <c r="BG113" s="13"/>
      <c r="BH113" s="13"/>
      <c r="BI113" s="13"/>
      <c r="BJ113" s="13"/>
      <c r="BK113" s="13"/>
      <c r="BL113" s="13"/>
      <c r="BM113" s="13"/>
      <c r="BN113" s="13"/>
      <c r="BO113" s="13"/>
      <c r="BP113" s="13"/>
      <c r="BQ113" s="13"/>
      <c r="BR113" s="13"/>
      <c r="BS113" s="13"/>
    </row>
    <row r="114" spans="1:71" s="867" customFormat="1" ht="16.8" hidden="1" customHeight="1" x14ac:dyDescent="0.25">
      <c r="A114" s="1057"/>
      <c r="B114" s="1057"/>
      <c r="C114" s="1057"/>
      <c r="D114" s="1057"/>
      <c r="E114" s="1057"/>
      <c r="F114" s="1057"/>
      <c r="G114" s="1057"/>
      <c r="H114" s="1057"/>
      <c r="I114" s="1057"/>
      <c r="J114" s="1057"/>
      <c r="K114" s="1058"/>
      <c r="L114" s="1301">
        <v>185100</v>
      </c>
      <c r="M114" s="1059"/>
      <c r="N114" s="1059"/>
      <c r="O114" s="23"/>
      <c r="P114" s="23"/>
      <c r="Q114" s="866"/>
      <c r="R114" s="640"/>
      <c r="S114" s="640"/>
      <c r="T114" s="326"/>
      <c r="U114" s="326"/>
      <c r="V114" s="326"/>
      <c r="W114" s="326"/>
      <c r="X114" s="326"/>
      <c r="Y114" s="326"/>
      <c r="Z114" s="326"/>
      <c r="AA114" s="326"/>
      <c r="AB114" s="326"/>
      <c r="AC114" s="326"/>
      <c r="AD114" s="326"/>
      <c r="AE114" s="510"/>
      <c r="AF114" s="510"/>
      <c r="AG114" s="326"/>
      <c r="AH114" s="326"/>
      <c r="AI114" s="510"/>
      <c r="AJ114" s="510"/>
      <c r="AK114" s="326"/>
      <c r="AL114" s="326"/>
      <c r="AM114" s="326"/>
      <c r="AN114" s="326"/>
      <c r="AO114" s="326"/>
      <c r="AP114" s="326"/>
      <c r="AQ114" s="326"/>
      <c r="AR114" s="326"/>
      <c r="AS114" s="326"/>
      <c r="AT114" s="326"/>
      <c r="AU114" s="326"/>
      <c r="AV114" s="326"/>
      <c r="AW114" s="326"/>
      <c r="AX114" s="326"/>
      <c r="AY114" s="326"/>
      <c r="AZ114" s="326"/>
      <c r="BA114" s="326"/>
      <c r="BB114" s="326"/>
      <c r="BC114" s="326"/>
      <c r="BD114" s="326"/>
      <c r="BE114" s="326"/>
      <c r="BF114" s="13"/>
      <c r="BG114" s="13"/>
      <c r="BH114" s="13"/>
      <c r="BI114" s="13"/>
      <c r="BJ114" s="13"/>
      <c r="BK114" s="13"/>
      <c r="BL114" s="13"/>
      <c r="BM114" s="13"/>
      <c r="BN114" s="13"/>
      <c r="BO114" s="13"/>
      <c r="BP114" s="13"/>
      <c r="BQ114" s="13"/>
      <c r="BR114" s="13"/>
      <c r="BS114" s="13"/>
    </row>
    <row r="115" spans="1:71" s="867" customFormat="1" ht="16.8" hidden="1" customHeight="1" x14ac:dyDescent="0.25">
      <c r="A115" s="1057"/>
      <c r="B115" s="1057"/>
      <c r="C115" s="1057"/>
      <c r="D115" s="1057"/>
      <c r="E115" s="1057"/>
      <c r="F115" s="1057"/>
      <c r="G115" s="1057"/>
      <c r="H115" s="1057"/>
      <c r="I115" s="1057"/>
      <c r="J115" s="1057"/>
      <c r="K115" s="1058"/>
      <c r="L115" s="1301">
        <v>187000</v>
      </c>
      <c r="M115" s="1059"/>
      <c r="N115" s="1059"/>
      <c r="O115" s="23"/>
      <c r="P115" s="23"/>
      <c r="Q115" s="866"/>
      <c r="R115" s="640"/>
      <c r="S115" s="640"/>
      <c r="T115" s="326"/>
      <c r="U115" s="326"/>
      <c r="V115" s="326"/>
      <c r="W115" s="326"/>
      <c r="X115" s="326"/>
      <c r="Y115" s="326"/>
      <c r="Z115" s="326"/>
      <c r="AA115" s="326"/>
      <c r="AB115" s="326"/>
      <c r="AC115" s="326"/>
      <c r="AD115" s="326"/>
      <c r="AE115" s="510"/>
      <c r="AF115" s="510"/>
      <c r="AG115" s="326"/>
      <c r="AH115" s="326"/>
      <c r="AI115" s="510"/>
      <c r="AJ115" s="510"/>
      <c r="AK115" s="326"/>
      <c r="AL115" s="326"/>
      <c r="AM115" s="326"/>
      <c r="AN115" s="326"/>
      <c r="AO115" s="326"/>
      <c r="AP115" s="326"/>
      <c r="AQ115" s="326"/>
      <c r="AR115" s="326"/>
      <c r="AS115" s="326"/>
      <c r="AT115" s="326"/>
      <c r="AU115" s="326"/>
      <c r="AV115" s="326"/>
      <c r="AW115" s="326"/>
      <c r="AX115" s="326"/>
      <c r="AY115" s="326"/>
      <c r="AZ115" s="326"/>
      <c r="BA115" s="326"/>
      <c r="BB115" s="326"/>
      <c r="BC115" s="326"/>
      <c r="BD115" s="326"/>
      <c r="BE115" s="326"/>
      <c r="BF115" s="13"/>
      <c r="BG115" s="13"/>
      <c r="BH115" s="13"/>
      <c r="BI115" s="13"/>
      <c r="BJ115" s="13"/>
      <c r="BK115" s="13"/>
      <c r="BL115" s="13"/>
      <c r="BM115" s="13"/>
      <c r="BN115" s="13"/>
      <c r="BO115" s="13"/>
      <c r="BP115" s="13"/>
      <c r="BQ115" s="13"/>
      <c r="BR115" s="13"/>
      <c r="BS115" s="13"/>
    </row>
    <row r="116" spans="1:71" s="867" customFormat="1" ht="16.8" hidden="1" customHeight="1" x14ac:dyDescent="0.25">
      <c r="A116" s="1057"/>
      <c r="B116" s="1057"/>
      <c r="C116" s="1057"/>
      <c r="D116" s="1057"/>
      <c r="E116" s="1057"/>
      <c r="F116" s="1057"/>
      <c r="G116" s="1057"/>
      <c r="H116" s="1057"/>
      <c r="I116" s="1057"/>
      <c r="J116" s="1057"/>
      <c r="K116" s="1058"/>
      <c r="L116" s="1301">
        <v>189600</v>
      </c>
      <c r="M116" s="1059"/>
      <c r="N116" s="1059"/>
      <c r="O116" s="23"/>
      <c r="P116" s="23"/>
      <c r="Q116" s="866"/>
      <c r="R116" s="640"/>
      <c r="S116" s="640"/>
      <c r="T116" s="326"/>
      <c r="U116" s="326"/>
      <c r="V116" s="326"/>
      <c r="W116" s="326"/>
      <c r="X116" s="326"/>
      <c r="Y116" s="326"/>
      <c r="Z116" s="326"/>
      <c r="AA116" s="326"/>
      <c r="AB116" s="326"/>
      <c r="AC116" s="326"/>
      <c r="AD116" s="326"/>
      <c r="AE116" s="510"/>
      <c r="AF116" s="510"/>
      <c r="AG116" s="326"/>
      <c r="AH116" s="326"/>
      <c r="AI116" s="510"/>
      <c r="AJ116" s="510"/>
      <c r="AK116" s="326"/>
      <c r="AL116" s="326"/>
      <c r="AM116" s="326"/>
      <c r="AN116" s="326"/>
      <c r="AO116" s="326"/>
      <c r="AP116" s="326"/>
      <c r="AQ116" s="326"/>
      <c r="AR116" s="326"/>
      <c r="AS116" s="326"/>
      <c r="AT116" s="326"/>
      <c r="AU116" s="326"/>
      <c r="AV116" s="326"/>
      <c r="AW116" s="326"/>
      <c r="AX116" s="326"/>
      <c r="AY116" s="326"/>
      <c r="AZ116" s="326"/>
      <c r="BA116" s="326"/>
      <c r="BB116" s="326"/>
      <c r="BC116" s="326"/>
      <c r="BD116" s="326"/>
      <c r="BE116" s="326"/>
      <c r="BF116" s="13"/>
      <c r="BG116" s="13"/>
      <c r="BH116" s="13"/>
      <c r="BI116" s="13"/>
      <c r="BJ116" s="13"/>
      <c r="BK116" s="13"/>
      <c r="BL116" s="13"/>
      <c r="BM116" s="13"/>
      <c r="BN116" s="13"/>
      <c r="BO116" s="13"/>
      <c r="BP116" s="13"/>
      <c r="BQ116" s="13"/>
      <c r="BR116" s="13"/>
      <c r="BS116" s="13"/>
    </row>
    <row r="117" spans="1:71" s="867" customFormat="1" ht="16.8" hidden="1" customHeight="1" x14ac:dyDescent="0.25">
      <c r="A117" s="1057"/>
      <c r="B117" s="1057"/>
      <c r="C117" s="1057"/>
      <c r="D117" s="1057"/>
      <c r="E117" s="1057"/>
      <c r="F117" s="1057"/>
      <c r="G117" s="1057"/>
      <c r="H117" s="1057"/>
      <c r="I117" s="1057"/>
      <c r="J117" s="1057"/>
      <c r="K117" s="1058"/>
      <c r="L117" s="1301">
        <v>192300</v>
      </c>
      <c r="M117" s="1059"/>
      <c r="N117" s="1059"/>
      <c r="O117" s="23"/>
      <c r="P117" s="23"/>
      <c r="Q117" s="866"/>
      <c r="R117" s="640"/>
      <c r="S117" s="640"/>
      <c r="T117" s="326"/>
      <c r="U117" s="326"/>
      <c r="V117" s="326"/>
      <c r="W117" s="326"/>
      <c r="X117" s="326"/>
      <c r="Y117" s="326"/>
      <c r="Z117" s="326"/>
      <c r="AA117" s="326"/>
      <c r="AB117" s="326"/>
      <c r="AC117" s="326"/>
      <c r="AD117" s="326"/>
      <c r="AE117" s="510"/>
      <c r="AF117" s="510"/>
      <c r="AG117" s="326"/>
      <c r="AH117" s="326"/>
      <c r="AI117" s="510"/>
      <c r="AJ117" s="510"/>
      <c r="AK117" s="326"/>
      <c r="AL117" s="326"/>
      <c r="AM117" s="326"/>
      <c r="AN117" s="326"/>
      <c r="AO117" s="326"/>
      <c r="AP117" s="326"/>
      <c r="AQ117" s="326"/>
      <c r="AR117" s="326"/>
      <c r="AS117" s="326"/>
      <c r="AT117" s="326"/>
      <c r="AU117" s="326"/>
      <c r="AV117" s="326"/>
      <c r="AW117" s="326"/>
      <c r="AX117" s="326"/>
      <c r="AY117" s="326"/>
      <c r="AZ117" s="326"/>
      <c r="BA117" s="326"/>
      <c r="BB117" s="326"/>
      <c r="BC117" s="326"/>
      <c r="BD117" s="326"/>
      <c r="BE117" s="326"/>
      <c r="BF117" s="13"/>
      <c r="BG117" s="13"/>
      <c r="BH117" s="13"/>
      <c r="BI117" s="13"/>
      <c r="BJ117" s="13"/>
      <c r="BK117" s="13"/>
      <c r="BL117" s="13"/>
      <c r="BM117" s="13"/>
      <c r="BN117" s="13"/>
      <c r="BO117" s="13"/>
      <c r="BP117" s="13"/>
      <c r="BQ117" s="13"/>
      <c r="BR117" s="13"/>
      <c r="BS117" s="13"/>
    </row>
    <row r="118" spans="1:71" s="867" customFormat="1" ht="16.8" hidden="1" customHeight="1" x14ac:dyDescent="0.25">
      <c r="A118" s="1057"/>
      <c r="B118" s="1057"/>
      <c r="C118" s="1057"/>
      <c r="D118" s="1057"/>
      <c r="E118" s="1057"/>
      <c r="F118" s="1057"/>
      <c r="G118" s="1057"/>
      <c r="H118" s="1057"/>
      <c r="I118" s="1057"/>
      <c r="J118" s="1057"/>
      <c r="K118" s="1058"/>
      <c r="L118" s="1301">
        <v>197300</v>
      </c>
      <c r="M118" s="1059"/>
      <c r="N118" s="1059"/>
      <c r="O118" s="23"/>
      <c r="P118" s="23"/>
      <c r="Q118" s="866"/>
      <c r="R118" s="640"/>
      <c r="S118" s="640"/>
      <c r="T118" s="326"/>
      <c r="U118" s="326"/>
      <c r="V118" s="326"/>
      <c r="W118" s="326"/>
      <c r="X118" s="326"/>
      <c r="Y118" s="326"/>
      <c r="Z118" s="326"/>
      <c r="AA118" s="326"/>
      <c r="AB118" s="326"/>
      <c r="AC118" s="326"/>
      <c r="AD118" s="326"/>
      <c r="AE118" s="510"/>
      <c r="AF118" s="510"/>
      <c r="AG118" s="326"/>
      <c r="AH118" s="326"/>
      <c r="AI118" s="510"/>
      <c r="AJ118" s="510"/>
      <c r="AK118" s="326"/>
      <c r="AL118" s="326"/>
      <c r="AM118" s="326"/>
      <c r="AN118" s="326"/>
      <c r="AO118" s="326"/>
      <c r="AP118" s="326"/>
      <c r="AQ118" s="326"/>
      <c r="AR118" s="326"/>
      <c r="AS118" s="326"/>
      <c r="AT118" s="326"/>
      <c r="AU118" s="326"/>
      <c r="AV118" s="326"/>
      <c r="AW118" s="326"/>
      <c r="AX118" s="326"/>
      <c r="AY118" s="326"/>
      <c r="AZ118" s="326"/>
      <c r="BA118" s="326"/>
      <c r="BB118" s="326"/>
      <c r="BC118" s="326"/>
      <c r="BD118" s="326"/>
      <c r="BE118" s="326"/>
      <c r="BF118" s="13"/>
      <c r="BG118" s="13"/>
      <c r="BH118" s="13"/>
      <c r="BI118" s="13"/>
      <c r="BJ118" s="13"/>
      <c r="BK118" s="13"/>
      <c r="BL118" s="13"/>
      <c r="BM118" s="13"/>
      <c r="BN118" s="13"/>
      <c r="BO118" s="13"/>
      <c r="BP118" s="13"/>
      <c r="BQ118" s="13"/>
      <c r="BR118" s="13"/>
      <c r="BS118" s="13"/>
    </row>
    <row r="119" spans="1:71" s="867" customFormat="1" ht="16.8" hidden="1" customHeight="1" x14ac:dyDescent="0.25">
      <c r="A119" s="1057"/>
      <c r="B119" s="1057"/>
      <c r="C119" s="1057"/>
      <c r="D119" s="1057"/>
      <c r="E119" s="1057"/>
      <c r="F119" s="1057"/>
      <c r="G119" s="1057"/>
      <c r="H119" s="1057"/>
      <c r="I119" s="1057"/>
      <c r="J119" s="1057"/>
      <c r="K119" s="1058"/>
      <c r="L119" s="1301">
        <v>199300</v>
      </c>
      <c r="M119" s="1059"/>
      <c r="N119" s="1059"/>
      <c r="O119" s="23"/>
      <c r="P119" s="23"/>
      <c r="Q119" s="866"/>
      <c r="R119" s="640"/>
      <c r="S119" s="640"/>
      <c r="T119" s="326"/>
      <c r="U119" s="326"/>
      <c r="V119" s="326"/>
      <c r="W119" s="326"/>
      <c r="X119" s="326"/>
      <c r="Y119" s="326"/>
      <c r="Z119" s="326"/>
      <c r="AA119" s="326"/>
      <c r="AB119" s="326"/>
      <c r="AC119" s="326"/>
      <c r="AD119" s="326"/>
      <c r="AE119" s="510"/>
      <c r="AF119" s="510"/>
      <c r="AG119" s="326"/>
      <c r="AH119" s="326"/>
      <c r="AI119" s="510"/>
      <c r="AJ119" s="510"/>
      <c r="AK119" s="326"/>
      <c r="AL119" s="326"/>
      <c r="AM119" s="326"/>
      <c r="AN119" s="326"/>
      <c r="AO119" s="326"/>
      <c r="AP119" s="326"/>
      <c r="AQ119" s="326"/>
      <c r="AR119" s="326"/>
      <c r="AS119" s="326"/>
      <c r="AT119" s="326"/>
      <c r="AU119" s="326"/>
      <c r="AV119" s="326"/>
      <c r="AW119" s="326"/>
      <c r="AX119" s="326"/>
      <c r="AY119" s="326"/>
      <c r="AZ119" s="326"/>
      <c r="BA119" s="326"/>
      <c r="BB119" s="326"/>
      <c r="BC119" s="326"/>
      <c r="BD119" s="326"/>
      <c r="BE119" s="326"/>
      <c r="BF119" s="13"/>
      <c r="BG119" s="13"/>
      <c r="BH119" s="13"/>
      <c r="BI119" s="13"/>
      <c r="BJ119" s="13"/>
      <c r="BK119" s="13"/>
      <c r="BL119" s="13"/>
      <c r="BM119" s="13"/>
      <c r="BN119" s="13"/>
      <c r="BO119" s="13"/>
      <c r="BP119" s="13"/>
      <c r="BQ119" s="13"/>
      <c r="BR119" s="13"/>
      <c r="BS119" s="13"/>
    </row>
    <row r="120" spans="1:71" s="867" customFormat="1" ht="16.8" hidden="1" customHeight="1" x14ac:dyDescent="0.25">
      <c r="A120" s="1057"/>
      <c r="B120" s="1057"/>
      <c r="C120" s="1057"/>
      <c r="D120" s="1057"/>
      <c r="E120" s="1057"/>
      <c r="F120" s="1057"/>
      <c r="G120" s="1057"/>
      <c r="H120" s="1057"/>
      <c r="I120" s="1057"/>
      <c r="J120" s="1057"/>
      <c r="K120" s="1058"/>
      <c r="L120" s="1301">
        <v>203700</v>
      </c>
      <c r="M120" s="1059"/>
      <c r="N120" s="1059"/>
      <c r="O120" s="23"/>
      <c r="P120" s="23"/>
      <c r="Q120" s="866"/>
      <c r="R120" s="640"/>
      <c r="S120" s="640"/>
      <c r="T120" s="326"/>
      <c r="U120" s="326"/>
      <c r="V120" s="326"/>
      <c r="W120" s="326"/>
      <c r="X120" s="326"/>
      <c r="Y120" s="326"/>
      <c r="Z120" s="326"/>
      <c r="AA120" s="326"/>
      <c r="AB120" s="326"/>
      <c r="AC120" s="326"/>
      <c r="AD120" s="326"/>
      <c r="AE120" s="510"/>
      <c r="AF120" s="510"/>
      <c r="AG120" s="326"/>
      <c r="AH120" s="326"/>
      <c r="AI120" s="510"/>
      <c r="AJ120" s="510"/>
      <c r="AK120" s="326"/>
      <c r="AL120" s="326"/>
      <c r="AM120" s="326"/>
      <c r="AN120" s="326"/>
      <c r="AO120" s="326"/>
      <c r="AP120" s="326"/>
      <c r="AQ120" s="326"/>
      <c r="AR120" s="326"/>
      <c r="AS120" s="326"/>
      <c r="AT120" s="326"/>
      <c r="AU120" s="326"/>
      <c r="AV120" s="326"/>
      <c r="AW120" s="326"/>
      <c r="AX120" s="326"/>
      <c r="AY120" s="326"/>
      <c r="AZ120" s="326"/>
      <c r="BA120" s="326"/>
      <c r="BB120" s="326"/>
      <c r="BC120" s="326"/>
      <c r="BD120" s="326"/>
      <c r="BE120" s="326"/>
      <c r="BF120" s="13"/>
      <c r="BG120" s="13"/>
      <c r="BH120" s="13"/>
      <c r="BI120" s="13"/>
      <c r="BJ120" s="13"/>
      <c r="BK120" s="13"/>
      <c r="BL120" s="13"/>
      <c r="BM120" s="13"/>
      <c r="BN120" s="13"/>
      <c r="BO120" s="13"/>
      <c r="BP120" s="13"/>
      <c r="BQ120" s="13"/>
      <c r="BR120" s="13"/>
      <c r="BS120" s="13"/>
    </row>
    <row r="121" spans="1:71" ht="16.8" hidden="1" customHeight="1" thickBot="1" x14ac:dyDescent="0.3">
      <c r="A121" s="1057"/>
      <c r="B121" s="1057"/>
      <c r="C121" s="1057"/>
      <c r="D121" s="1057"/>
      <c r="E121" s="1057"/>
      <c r="F121" s="1057"/>
      <c r="G121" s="1057"/>
      <c r="H121" s="1057"/>
      <c r="I121" s="1057"/>
      <c r="J121" s="1057"/>
      <c r="K121" s="1058"/>
      <c r="L121" s="1301">
        <v>212100</v>
      </c>
      <c r="M121" s="1059"/>
      <c r="N121" s="1059"/>
      <c r="O121" s="23"/>
      <c r="P121" s="23"/>
      <c r="R121" s="640"/>
      <c r="S121" s="640"/>
      <c r="T121" s="326"/>
      <c r="U121" s="326"/>
      <c r="V121" s="326"/>
      <c r="W121" s="326"/>
      <c r="X121" s="326"/>
      <c r="Y121" s="326"/>
      <c r="Z121" s="326"/>
      <c r="AA121" s="326"/>
      <c r="AB121" s="326"/>
      <c r="AC121" s="326"/>
      <c r="AD121" s="326"/>
      <c r="AE121" s="510"/>
      <c r="AF121" s="510"/>
      <c r="AG121" s="326"/>
      <c r="AH121" s="326"/>
      <c r="AI121" s="510"/>
      <c r="AJ121" s="510"/>
      <c r="AK121" s="326"/>
      <c r="AL121" s="326"/>
      <c r="AM121" s="326"/>
      <c r="AN121" s="326"/>
      <c r="AO121" s="326"/>
      <c r="AP121" s="326"/>
      <c r="AQ121" s="326"/>
      <c r="AR121" s="326"/>
      <c r="AS121" s="326"/>
      <c r="AT121" s="326"/>
      <c r="AU121" s="326"/>
      <c r="AV121" s="326"/>
      <c r="AW121" s="326"/>
      <c r="AX121" s="326"/>
      <c r="AY121" s="326"/>
      <c r="AZ121" s="326"/>
      <c r="BA121" s="326"/>
      <c r="BB121" s="326"/>
      <c r="BC121" s="326"/>
      <c r="BD121" s="326"/>
      <c r="BE121" s="326"/>
      <c r="BF121" s="13"/>
      <c r="BG121" s="13"/>
      <c r="BH121" s="13"/>
      <c r="BI121" s="13"/>
      <c r="BJ121" s="13"/>
      <c r="BK121" s="13"/>
      <c r="BL121" s="13"/>
      <c r="BM121" s="13"/>
      <c r="BN121" s="13"/>
      <c r="BO121" s="13"/>
      <c r="BP121" s="13"/>
      <c r="BQ121" s="13"/>
      <c r="BR121" s="13"/>
      <c r="BS121" s="13"/>
    </row>
    <row r="122" spans="1:71" s="15" customFormat="1" ht="16.8" customHeight="1" thickTop="1" thickBot="1" x14ac:dyDescent="0.3">
      <c r="A122" s="1093" t="s">
        <v>197</v>
      </c>
      <c r="B122" s="1093"/>
      <c r="C122" s="438"/>
      <c r="D122" s="438"/>
      <c r="E122" s="438"/>
      <c r="F122" s="438"/>
      <c r="G122" s="438"/>
      <c r="H122" s="438"/>
      <c r="I122" s="438"/>
      <c r="J122" s="439"/>
      <c r="K122" s="439"/>
      <c r="L122" s="455"/>
      <c r="M122" s="438"/>
      <c r="N122" s="320"/>
      <c r="O122" s="23"/>
      <c r="P122" s="23"/>
      <c r="Q122" s="328"/>
      <c r="R122" s="640"/>
      <c r="S122" s="640"/>
      <c r="T122" s="326"/>
      <c r="U122" s="326"/>
      <c r="V122" s="326"/>
      <c r="W122" s="326"/>
      <c r="X122" s="326"/>
      <c r="Y122" s="326"/>
      <c r="Z122" s="326"/>
      <c r="AA122" s="326"/>
      <c r="AB122" s="326"/>
      <c r="AC122" s="326"/>
      <c r="AD122" s="326"/>
      <c r="AE122" s="510"/>
      <c r="AF122" s="510"/>
      <c r="AG122" s="326"/>
      <c r="AH122" s="326"/>
      <c r="AI122" s="510"/>
      <c r="AJ122" s="510"/>
      <c r="AK122" s="326"/>
      <c r="AL122" s="326"/>
      <c r="AM122" s="326"/>
      <c r="AN122" s="326"/>
      <c r="AO122" s="326"/>
      <c r="AP122" s="326"/>
      <c r="AQ122" s="326"/>
      <c r="AR122" s="326"/>
      <c r="AS122" s="326"/>
      <c r="AT122" s="326"/>
      <c r="AU122" s="326"/>
      <c r="AV122" s="326"/>
      <c r="AW122" s="326"/>
      <c r="AX122" s="326"/>
      <c r="AY122" s="326"/>
      <c r="AZ122" s="326"/>
      <c r="BA122" s="326"/>
      <c r="BB122" s="326"/>
      <c r="BC122" s="326"/>
      <c r="BD122" s="326"/>
      <c r="BE122" s="326"/>
      <c r="BF122" s="13"/>
      <c r="BG122" s="13"/>
      <c r="BH122" s="13"/>
      <c r="BI122" s="13"/>
      <c r="BJ122" s="13"/>
      <c r="BK122" s="13"/>
      <c r="BL122" s="13"/>
      <c r="BM122" s="13"/>
      <c r="BN122" s="13"/>
      <c r="BO122" s="13"/>
      <c r="BP122" s="13"/>
      <c r="BQ122" s="13"/>
      <c r="BR122" s="13"/>
      <c r="BS122" s="13"/>
    </row>
    <row r="123" spans="1:71" s="15" customFormat="1" ht="15" customHeight="1" thickTop="1" thickBot="1" x14ac:dyDescent="0.3">
      <c r="A123" s="443"/>
      <c r="B123" s="443"/>
      <c r="C123" s="453"/>
      <c r="D123" s="453"/>
      <c r="E123" s="328"/>
      <c r="F123" s="328"/>
      <c r="G123" s="328"/>
      <c r="H123" s="328"/>
      <c r="I123" s="328"/>
      <c r="J123" s="328"/>
      <c r="K123" s="328"/>
      <c r="L123" s="328"/>
      <c r="M123" s="328"/>
      <c r="N123" s="328"/>
      <c r="O123" s="23"/>
      <c r="P123" s="23"/>
      <c r="Q123" s="328"/>
      <c r="R123" s="640"/>
      <c r="S123" s="640"/>
      <c r="T123" s="326"/>
      <c r="U123" s="326"/>
      <c r="V123" s="326"/>
      <c r="W123" s="326"/>
      <c r="X123" s="326"/>
      <c r="Y123" s="326"/>
      <c r="Z123" s="326"/>
      <c r="AA123" s="326"/>
      <c r="AB123" s="326"/>
      <c r="AC123" s="326"/>
      <c r="AD123" s="326"/>
      <c r="AE123" s="510"/>
      <c r="AF123" s="510"/>
      <c r="AG123" s="326"/>
      <c r="AH123" s="326"/>
      <c r="AI123" s="510"/>
      <c r="AJ123" s="510"/>
      <c r="AK123" s="326"/>
      <c r="AL123" s="326"/>
      <c r="AM123" s="326"/>
      <c r="AN123" s="326"/>
      <c r="AO123" s="326"/>
      <c r="AP123" s="326"/>
      <c r="AQ123" s="326"/>
      <c r="AR123" s="326"/>
      <c r="AS123" s="326"/>
      <c r="AT123" s="326"/>
      <c r="AU123" s="326"/>
      <c r="AV123" s="326"/>
      <c r="AW123" s="326"/>
      <c r="AX123" s="326"/>
      <c r="AY123" s="326"/>
      <c r="AZ123" s="326"/>
      <c r="BA123" s="326"/>
      <c r="BB123" s="326"/>
      <c r="BC123" s="326"/>
      <c r="BD123" s="326"/>
      <c r="BE123" s="326"/>
      <c r="BF123" s="13"/>
      <c r="BG123" s="13"/>
      <c r="BH123" s="13"/>
      <c r="BI123" s="13"/>
      <c r="BJ123" s="13"/>
      <c r="BK123" s="13"/>
      <c r="BL123" s="13"/>
      <c r="BM123" s="13"/>
      <c r="BN123" s="13"/>
      <c r="BO123" s="13"/>
      <c r="BP123" s="13"/>
      <c r="BQ123" s="13"/>
      <c r="BR123" s="13"/>
      <c r="BS123" s="13"/>
    </row>
    <row r="124" spans="1:71" ht="15" thickTop="1" thickBot="1" x14ac:dyDescent="0.3">
      <c r="A124" s="1226" t="s">
        <v>424</v>
      </c>
      <c r="B124" s="1226"/>
      <c r="C124" s="319"/>
      <c r="D124" s="319"/>
      <c r="E124" s="320"/>
      <c r="F124" s="320"/>
      <c r="G124" s="320"/>
      <c r="H124" s="321" t="s">
        <v>60</v>
      </c>
      <c r="I124" s="320"/>
      <c r="J124" s="320"/>
      <c r="K124" s="320"/>
      <c r="L124" s="320"/>
      <c r="M124" s="320"/>
      <c r="N124" s="456" t="s">
        <v>104</v>
      </c>
      <c r="O124" s="193"/>
      <c r="P124" s="193"/>
      <c r="R124" s="640"/>
      <c r="S124" s="640"/>
      <c r="T124" s="326"/>
      <c r="U124" s="326"/>
      <c r="V124" s="326"/>
      <c r="W124" s="326"/>
      <c r="X124" s="326"/>
      <c r="Y124" s="326"/>
      <c r="Z124" s="326"/>
      <c r="AA124" s="326"/>
      <c r="AB124" s="326"/>
      <c r="AC124" s="326"/>
      <c r="AD124" s="326"/>
      <c r="AE124" s="510"/>
      <c r="AF124" s="510"/>
      <c r="AG124" s="326"/>
      <c r="AH124" s="326"/>
      <c r="AI124" s="510"/>
      <c r="AJ124" s="510"/>
      <c r="AK124" s="326"/>
      <c r="AL124" s="326"/>
      <c r="AM124" s="326"/>
      <c r="AN124" s="326"/>
      <c r="AO124" s="326"/>
      <c r="AP124" s="326"/>
      <c r="AQ124" s="326"/>
      <c r="AR124" s="326"/>
      <c r="AS124" s="326"/>
      <c r="AT124" s="326"/>
      <c r="AU124" s="326"/>
      <c r="AV124" s="326"/>
      <c r="AW124" s="326"/>
      <c r="AX124" s="326"/>
      <c r="AY124" s="326"/>
      <c r="AZ124" s="326"/>
      <c r="BA124" s="326"/>
      <c r="BB124" s="326"/>
      <c r="BC124" s="326"/>
      <c r="BD124" s="326"/>
      <c r="BE124" s="326"/>
      <c r="BF124" s="13"/>
      <c r="BG124" s="13"/>
      <c r="BH124" s="13"/>
      <c r="BI124" s="13"/>
      <c r="BJ124" s="13"/>
      <c r="BK124" s="13"/>
      <c r="BL124" s="13"/>
      <c r="BM124" s="13"/>
      <c r="BN124" s="13"/>
      <c r="BO124" s="13"/>
      <c r="BP124" s="13"/>
      <c r="BQ124" s="13"/>
      <c r="BR124" s="13"/>
      <c r="BS124" s="13"/>
    </row>
    <row r="125" spans="1:71" ht="20.25" customHeight="1" thickTop="1" x14ac:dyDescent="0.25">
      <c r="A125" s="1226" t="s">
        <v>126</v>
      </c>
      <c r="B125" s="1226"/>
      <c r="C125" s="319"/>
      <c r="D125" s="319"/>
      <c r="E125" s="320"/>
      <c r="F125" s="320"/>
      <c r="G125" s="320"/>
      <c r="H125" s="320"/>
      <c r="I125" s="320"/>
      <c r="J125" s="320"/>
      <c r="K125" s="320"/>
      <c r="L125" s="320"/>
      <c r="M125" s="320"/>
      <c r="N125" s="438"/>
      <c r="O125" s="90"/>
      <c r="P125" s="90"/>
      <c r="R125" s="640"/>
      <c r="S125" s="640"/>
      <c r="T125" s="326"/>
      <c r="U125" s="326"/>
      <c r="V125" s="326"/>
      <c r="W125" s="326"/>
      <c r="X125" s="326"/>
      <c r="Y125" s="326"/>
      <c r="Z125" s="326"/>
      <c r="AA125" s="326"/>
      <c r="AB125" s="326"/>
      <c r="AC125" s="326"/>
      <c r="AD125" s="326"/>
      <c r="AE125" s="510"/>
      <c r="AF125" s="510"/>
      <c r="AG125" s="326"/>
    </row>
    <row r="126" spans="1:71" x14ac:dyDescent="0.25">
      <c r="A126" s="1226" t="s">
        <v>130</v>
      </c>
      <c r="B126" s="1226"/>
      <c r="C126" s="320"/>
      <c r="D126" s="320"/>
      <c r="E126" s="320"/>
      <c r="F126" s="320"/>
      <c r="G126" s="320"/>
      <c r="H126" s="320"/>
      <c r="I126" s="320"/>
      <c r="J126" s="320"/>
      <c r="K126" s="320"/>
      <c r="L126" s="320"/>
      <c r="M126" s="320"/>
      <c r="N126" s="320"/>
      <c r="O126" s="23"/>
      <c r="P126" s="23"/>
    </row>
    <row r="127" spans="1:71" ht="14.4" thickBot="1" x14ac:dyDescent="0.3">
      <c r="A127" s="1226" t="s">
        <v>166</v>
      </c>
      <c r="B127" s="1226"/>
      <c r="C127" s="320"/>
      <c r="D127" s="320"/>
      <c r="E127" s="320"/>
      <c r="F127" s="320"/>
      <c r="G127" s="320"/>
      <c r="H127" s="320"/>
      <c r="I127" s="320"/>
      <c r="J127" s="320"/>
      <c r="K127" s="320"/>
      <c r="L127" s="320"/>
      <c r="M127" s="320"/>
      <c r="N127" s="320"/>
      <c r="O127" s="23"/>
      <c r="P127" s="23"/>
    </row>
    <row r="128" spans="1:71" ht="15" thickTop="1" thickBot="1" x14ac:dyDescent="0.3">
      <c r="A128" s="1226" t="s">
        <v>606</v>
      </c>
      <c r="B128" s="1226"/>
      <c r="C128" s="320"/>
      <c r="D128" s="320"/>
      <c r="E128" s="320"/>
      <c r="F128" s="320"/>
      <c r="G128" s="320"/>
      <c r="H128" s="320"/>
      <c r="I128" s="320"/>
      <c r="J128" s="320"/>
      <c r="K128" s="320"/>
      <c r="L128" s="320"/>
      <c r="M128" s="320"/>
      <c r="N128" s="457"/>
      <c r="O128" s="194"/>
      <c r="P128" s="194"/>
    </row>
    <row r="129" spans="1:57" s="867" customFormat="1" ht="14.4" thickTop="1" x14ac:dyDescent="0.25">
      <c r="A129" s="1226" t="s">
        <v>500</v>
      </c>
      <c r="B129" s="1226"/>
      <c r="C129" s="320"/>
      <c r="D129" s="320"/>
      <c r="E129" s="320"/>
      <c r="F129" s="320"/>
      <c r="G129" s="320"/>
      <c r="H129" s="320"/>
      <c r="I129" s="320"/>
      <c r="J129" s="320"/>
      <c r="K129" s="320"/>
      <c r="L129" s="320"/>
      <c r="M129" s="320"/>
      <c r="N129" s="320"/>
      <c r="O129" s="194"/>
      <c r="P129" s="194"/>
      <c r="Q129" s="866"/>
      <c r="R129" s="642"/>
      <c r="S129" s="642"/>
      <c r="T129" s="866"/>
      <c r="U129" s="866"/>
      <c r="V129" s="866"/>
      <c r="W129" s="866"/>
      <c r="X129" s="866"/>
      <c r="Y129" s="866"/>
      <c r="Z129" s="866"/>
      <c r="AA129" s="866"/>
      <c r="AB129" s="866"/>
      <c r="AC129" s="866"/>
      <c r="AD129" s="866"/>
      <c r="AE129" s="868"/>
      <c r="AF129" s="868"/>
      <c r="AG129" s="866"/>
      <c r="AH129" s="866"/>
      <c r="AI129" s="868"/>
      <c r="AJ129" s="868"/>
      <c r="AK129" s="866"/>
      <c r="AL129" s="866"/>
      <c r="AM129" s="866"/>
      <c r="AN129" s="866"/>
      <c r="AO129" s="866"/>
      <c r="AP129" s="866"/>
      <c r="AQ129" s="866"/>
      <c r="AR129" s="866"/>
      <c r="AS129" s="866"/>
      <c r="AT129" s="866"/>
      <c r="AU129" s="866"/>
      <c r="AV129" s="866"/>
      <c r="AW129" s="866"/>
      <c r="AX129" s="866"/>
      <c r="AY129" s="866"/>
      <c r="AZ129" s="866"/>
      <c r="BA129" s="866"/>
      <c r="BB129" s="866"/>
      <c r="BC129" s="866"/>
      <c r="BD129" s="866"/>
      <c r="BE129" s="866"/>
    </row>
    <row r="130" spans="1:57" s="867" customFormat="1" x14ac:dyDescent="0.25">
      <c r="A130" s="450"/>
      <c r="B130" s="450"/>
      <c r="C130" s="325"/>
      <c r="D130" s="325"/>
      <c r="E130" s="325"/>
      <c r="F130" s="325"/>
      <c r="G130" s="325"/>
      <c r="H130" s="325"/>
      <c r="I130" s="325"/>
      <c r="J130" s="325"/>
      <c r="K130" s="325"/>
      <c r="L130" s="325"/>
      <c r="M130" s="325"/>
      <c r="N130" s="893"/>
      <c r="O130" s="194"/>
      <c r="P130" s="194"/>
      <c r="Q130" s="866"/>
      <c r="R130" s="642"/>
      <c r="S130" s="642"/>
      <c r="T130" s="866"/>
      <c r="U130" s="866"/>
      <c r="V130" s="866"/>
      <c r="W130" s="866"/>
      <c r="X130" s="866"/>
      <c r="Y130" s="866"/>
      <c r="Z130" s="866"/>
      <c r="AA130" s="866"/>
      <c r="AB130" s="866"/>
      <c r="AC130" s="866"/>
      <c r="AD130" s="866"/>
      <c r="AE130" s="868"/>
      <c r="AF130" s="868"/>
      <c r="AG130" s="866"/>
      <c r="AH130" s="866"/>
      <c r="AI130" s="868"/>
      <c r="AJ130" s="868"/>
      <c r="AK130" s="866"/>
      <c r="AL130" s="866"/>
      <c r="AM130" s="866"/>
      <c r="AN130" s="866"/>
      <c r="AO130" s="866"/>
      <c r="AP130" s="866"/>
      <c r="AQ130" s="866"/>
      <c r="AR130" s="866"/>
      <c r="AS130" s="866"/>
      <c r="AT130" s="866"/>
      <c r="AU130" s="866"/>
      <c r="AV130" s="866"/>
      <c r="AW130" s="866"/>
      <c r="AX130" s="866"/>
      <c r="AY130" s="866"/>
      <c r="AZ130" s="866"/>
      <c r="BA130" s="866"/>
      <c r="BB130" s="866"/>
      <c r="BC130" s="866"/>
      <c r="BD130" s="866"/>
      <c r="BE130" s="866"/>
    </row>
    <row r="131" spans="1:57" ht="24.75" customHeight="1" thickBot="1" x14ac:dyDescent="0.4">
      <c r="A131" s="1227" t="s">
        <v>549</v>
      </c>
      <c r="B131" s="1227"/>
      <c r="C131" s="453"/>
      <c r="D131" s="453"/>
      <c r="E131" s="328"/>
      <c r="F131" s="328"/>
      <c r="G131" s="328"/>
      <c r="H131" s="328"/>
      <c r="I131" s="328"/>
      <c r="J131" s="328"/>
      <c r="K131" s="328"/>
      <c r="L131" s="328"/>
      <c r="M131" s="328"/>
      <c r="N131" s="443"/>
      <c r="O131" s="90"/>
      <c r="P131" s="90"/>
    </row>
    <row r="132" spans="1:57" ht="15.6" thickTop="1" thickBot="1" x14ac:dyDescent="0.35">
      <c r="A132" s="1226" t="s">
        <v>425</v>
      </c>
      <c r="B132" s="1226"/>
      <c r="C132" s="319"/>
      <c r="D132" s="319"/>
      <c r="E132" s="320"/>
      <c r="F132" s="320"/>
      <c r="G132" s="320"/>
      <c r="H132" s="321" t="s">
        <v>60</v>
      </c>
      <c r="I132" s="320"/>
      <c r="J132" s="320"/>
      <c r="K132" s="458"/>
      <c r="L132" s="1240"/>
      <c r="M132" s="320"/>
      <c r="N132" s="1094" t="s">
        <v>266</v>
      </c>
      <c r="O132" s="90"/>
      <c r="P132" s="90"/>
    </row>
    <row r="133" spans="1:57" ht="14.4" thickTop="1" x14ac:dyDescent="0.25">
      <c r="A133" s="1226" t="s">
        <v>127</v>
      </c>
      <c r="B133" s="1226"/>
      <c r="C133" s="319"/>
      <c r="D133" s="319"/>
      <c r="E133" s="320"/>
      <c r="F133" s="320"/>
      <c r="G133" s="320"/>
      <c r="H133" s="320"/>
      <c r="I133" s="320"/>
      <c r="J133" s="320"/>
      <c r="K133" s="320"/>
      <c r="L133" s="438"/>
      <c r="M133" s="320"/>
      <c r="N133" s="438"/>
      <c r="O133" s="90"/>
      <c r="P133" s="90"/>
      <c r="AE133" s="230"/>
      <c r="AF133" s="230"/>
      <c r="AI133" s="230"/>
      <c r="AJ133" s="230"/>
    </row>
    <row r="134" spans="1:57" x14ac:dyDescent="0.25">
      <c r="A134" s="1226" t="s">
        <v>337</v>
      </c>
      <c r="B134" s="1226"/>
      <c r="C134" s="319"/>
      <c r="D134" s="319"/>
      <c r="E134" s="320"/>
      <c r="F134" s="320"/>
      <c r="G134" s="320"/>
      <c r="H134" s="320"/>
      <c r="I134" s="320"/>
      <c r="J134" s="320"/>
      <c r="K134" s="320"/>
      <c r="L134" s="438"/>
      <c r="M134" s="320"/>
      <c r="N134" s="438"/>
      <c r="O134" s="90"/>
      <c r="P134" s="90"/>
      <c r="AE134" s="230"/>
      <c r="AF134" s="230"/>
      <c r="AI134" s="230"/>
      <c r="AJ134" s="230"/>
    </row>
    <row r="135" spans="1:57" x14ac:dyDescent="0.25">
      <c r="A135" s="1226" t="s">
        <v>338</v>
      </c>
      <c r="B135" s="1226"/>
      <c r="C135" s="319"/>
      <c r="D135" s="319"/>
      <c r="E135" s="320"/>
      <c r="F135" s="320"/>
      <c r="G135" s="320"/>
      <c r="H135" s="320"/>
      <c r="I135" s="320"/>
      <c r="J135" s="320"/>
      <c r="K135" s="320"/>
      <c r="L135" s="438"/>
      <c r="M135" s="320"/>
      <c r="N135" s="438"/>
      <c r="O135" s="90"/>
      <c r="P135" s="90"/>
      <c r="AE135" s="230"/>
      <c r="AF135" s="230"/>
      <c r="AI135" s="230"/>
      <c r="AJ135" s="230"/>
    </row>
    <row r="136" spans="1:57" ht="14.4" thickBot="1" x14ac:dyDescent="0.3">
      <c r="A136" s="453"/>
      <c r="B136" s="453"/>
      <c r="C136" s="453"/>
      <c r="D136" s="453"/>
      <c r="E136" s="328"/>
      <c r="F136" s="328"/>
      <c r="G136" s="328"/>
      <c r="H136" s="328"/>
      <c r="I136" s="328"/>
      <c r="J136" s="328"/>
      <c r="K136" s="328"/>
      <c r="L136" s="328"/>
      <c r="M136" s="328"/>
      <c r="N136" s="443"/>
      <c r="O136" s="90"/>
      <c r="P136" s="90"/>
    </row>
    <row r="137" spans="1:57" ht="15.6" thickTop="1" thickBot="1" x14ac:dyDescent="0.35">
      <c r="A137" s="1226" t="s">
        <v>516</v>
      </c>
      <c r="B137" s="1226"/>
      <c r="C137" s="319"/>
      <c r="D137" s="319"/>
      <c r="E137" s="320"/>
      <c r="F137" s="320"/>
      <c r="G137" s="320"/>
      <c r="H137" s="321">
        <v>0</v>
      </c>
      <c r="I137" s="458"/>
      <c r="J137" s="458"/>
      <c r="K137" s="458"/>
      <c r="L137" s="320"/>
      <c r="M137" s="320"/>
      <c r="N137" s="1094" t="s">
        <v>266</v>
      </c>
      <c r="O137" s="90"/>
      <c r="P137" s="90"/>
    </row>
    <row r="138" spans="1:57" ht="14.4" hidden="1" thickTop="1" x14ac:dyDescent="0.25">
      <c r="A138" s="539"/>
      <c r="B138" s="539"/>
      <c r="C138" s="539"/>
      <c r="D138" s="539"/>
      <c r="E138" s="539"/>
      <c r="F138" s="539"/>
      <c r="G138" s="539"/>
      <c r="H138" s="561"/>
      <c r="I138" s="561"/>
      <c r="J138" s="561"/>
      <c r="K138" s="561"/>
      <c r="L138" s="561"/>
      <c r="M138" s="674" t="s">
        <v>70</v>
      </c>
      <c r="N138" s="675" t="s">
        <v>62</v>
      </c>
      <c r="O138" s="195"/>
      <c r="P138" s="195"/>
    </row>
    <row r="139" spans="1:57" ht="14.4" hidden="1" thickTop="1" x14ac:dyDescent="0.25">
      <c r="A139" s="539"/>
      <c r="B139" s="539"/>
      <c r="C139" s="539"/>
      <c r="D139" s="539"/>
      <c r="E139" s="539"/>
      <c r="F139" s="539"/>
      <c r="G139" s="539"/>
      <c r="H139" s="561"/>
      <c r="I139" s="561"/>
      <c r="J139" s="561"/>
      <c r="K139" s="561"/>
      <c r="L139" s="561"/>
      <c r="M139" s="676">
        <v>0</v>
      </c>
      <c r="N139" s="677">
        <f>IF($H$137=0, 0,0)</f>
        <v>0</v>
      </c>
      <c r="O139" s="196"/>
      <c r="P139" s="196"/>
    </row>
    <row r="140" spans="1:57" ht="14.4" hidden="1" thickTop="1" x14ac:dyDescent="0.25">
      <c r="A140" s="539"/>
      <c r="B140" s="539"/>
      <c r="C140" s="539"/>
      <c r="D140" s="539"/>
      <c r="E140" s="539"/>
      <c r="F140" s="539"/>
      <c r="G140" s="539"/>
      <c r="H140" s="561"/>
      <c r="I140" s="561"/>
      <c r="J140" s="561"/>
      <c r="K140" s="561"/>
      <c r="L140" s="561"/>
      <c r="M140" s="676">
        <v>1</v>
      </c>
      <c r="N140" s="677">
        <f>IF($H$137=1, 25000,0)</f>
        <v>0</v>
      </c>
      <c r="O140" s="196"/>
      <c r="P140" s="196"/>
    </row>
    <row r="141" spans="1:57" ht="14.4" hidden="1" thickTop="1" x14ac:dyDescent="0.25">
      <c r="A141" s="539"/>
      <c r="B141" s="539"/>
      <c r="C141" s="539"/>
      <c r="D141" s="539"/>
      <c r="E141" s="539"/>
      <c r="F141" s="539"/>
      <c r="G141" s="539"/>
      <c r="H141" s="561"/>
      <c r="I141" s="561"/>
      <c r="J141" s="561"/>
      <c r="K141" s="561"/>
      <c r="L141" s="561"/>
      <c r="M141" s="676">
        <v>2</v>
      </c>
      <c r="N141" s="677">
        <f>IF($H$137=2, 50000,0)</f>
        <v>0</v>
      </c>
      <c r="O141" s="196"/>
      <c r="P141" s="196"/>
    </row>
    <row r="142" spans="1:57" ht="14.4" hidden="1" thickTop="1" x14ac:dyDescent="0.25">
      <c r="A142" s="539"/>
      <c r="B142" s="539"/>
      <c r="C142" s="539"/>
      <c r="D142" s="539"/>
      <c r="E142" s="539"/>
      <c r="F142" s="539"/>
      <c r="G142" s="539"/>
      <c r="H142" s="561"/>
      <c r="I142" s="561"/>
      <c r="J142" s="561"/>
      <c r="K142" s="561"/>
      <c r="L142" s="561"/>
      <c r="M142" s="676">
        <v>3</v>
      </c>
      <c r="N142" s="677">
        <f>IF($H$137=3, 75000,0)</f>
        <v>0</v>
      </c>
      <c r="O142" s="196"/>
      <c r="P142" s="196"/>
    </row>
    <row r="143" spans="1:57" ht="13.5" hidden="1" customHeight="1" x14ac:dyDescent="0.25">
      <c r="A143" s="539"/>
      <c r="B143" s="539"/>
      <c r="C143" s="539"/>
      <c r="D143" s="539"/>
      <c r="E143" s="539"/>
      <c r="F143" s="539"/>
      <c r="G143" s="539"/>
      <c r="H143" s="561"/>
      <c r="I143" s="561"/>
      <c r="J143" s="561"/>
      <c r="K143" s="561"/>
      <c r="L143" s="561"/>
      <c r="M143" s="676">
        <v>4</v>
      </c>
      <c r="N143" s="677">
        <f>IF($H$137=4, 100000,0)</f>
        <v>0</v>
      </c>
      <c r="O143" s="196"/>
      <c r="P143" s="196"/>
    </row>
    <row r="144" spans="1:57" ht="13.5" hidden="1" customHeight="1" x14ac:dyDescent="0.25">
      <c r="A144" s="539"/>
      <c r="B144" s="539"/>
      <c r="C144" s="539"/>
      <c r="D144" s="539"/>
      <c r="E144" s="539"/>
      <c r="F144" s="539"/>
      <c r="G144" s="539"/>
      <c r="H144" s="561"/>
      <c r="I144" s="561"/>
      <c r="J144" s="561"/>
      <c r="K144" s="561"/>
      <c r="L144" s="561"/>
      <c r="M144" s="676">
        <v>5</v>
      </c>
      <c r="N144" s="677">
        <f>IF($H$137=5, 125000,0)</f>
        <v>0</v>
      </c>
      <c r="O144" s="196"/>
      <c r="P144" s="196"/>
    </row>
    <row r="145" spans="1:16" ht="14.4" hidden="1" thickTop="1" x14ac:dyDescent="0.25">
      <c r="A145" s="539"/>
      <c r="B145" s="539"/>
      <c r="C145" s="539"/>
      <c r="D145" s="539"/>
      <c r="E145" s="539"/>
      <c r="F145" s="539"/>
      <c r="G145" s="539"/>
      <c r="H145" s="561"/>
      <c r="I145" s="561"/>
      <c r="J145" s="561"/>
      <c r="K145" s="561"/>
      <c r="L145" s="561"/>
      <c r="M145" s="676">
        <v>6</v>
      </c>
      <c r="N145" s="677">
        <f>IF($H$137=6, 150000,0)</f>
        <v>0</v>
      </c>
      <c r="O145" s="196"/>
      <c r="P145" s="196"/>
    </row>
    <row r="146" spans="1:16" ht="14.4" hidden="1" thickTop="1" x14ac:dyDescent="0.25">
      <c r="A146" s="539"/>
      <c r="B146" s="539"/>
      <c r="C146" s="539"/>
      <c r="D146" s="539"/>
      <c r="E146" s="539"/>
      <c r="F146" s="539"/>
      <c r="G146" s="539"/>
      <c r="H146" s="561"/>
      <c r="I146" s="561"/>
      <c r="J146" s="561"/>
      <c r="K146" s="561"/>
      <c r="L146" s="561"/>
      <c r="M146" s="676">
        <v>7</v>
      </c>
      <c r="N146" s="677">
        <f>IF($H$137=7, 175000,0)</f>
        <v>0</v>
      </c>
      <c r="O146" s="196"/>
      <c r="P146" s="196"/>
    </row>
    <row r="147" spans="1:16" ht="14.4" hidden="1" thickTop="1" x14ac:dyDescent="0.25">
      <c r="A147" s="539"/>
      <c r="B147" s="539"/>
      <c r="C147" s="539"/>
      <c r="D147" s="539"/>
      <c r="E147" s="539"/>
      <c r="F147" s="539"/>
      <c r="G147" s="539"/>
      <c r="H147" s="561"/>
      <c r="I147" s="561"/>
      <c r="J147" s="561"/>
      <c r="K147" s="561"/>
      <c r="L147" s="561"/>
      <c r="M147" s="676">
        <v>8</v>
      </c>
      <c r="N147" s="677">
        <f>IF($H$137=8, 200000,0)</f>
        <v>0</v>
      </c>
      <c r="O147" s="196"/>
      <c r="P147" s="196"/>
    </row>
    <row r="148" spans="1:16" ht="14.4" hidden="1" thickTop="1" x14ac:dyDescent="0.25">
      <c r="A148" s="539"/>
      <c r="B148" s="539"/>
      <c r="C148" s="539"/>
      <c r="D148" s="539"/>
      <c r="E148" s="539"/>
      <c r="F148" s="539"/>
      <c r="G148" s="539"/>
      <c r="H148" s="561"/>
      <c r="I148" s="561"/>
      <c r="J148" s="561"/>
      <c r="K148" s="561"/>
      <c r="L148" s="561"/>
      <c r="M148" s="676">
        <v>9</v>
      </c>
      <c r="N148" s="677">
        <f>IF($H$137=9, 225000,0)</f>
        <v>0</v>
      </c>
      <c r="O148" s="196"/>
      <c r="P148" s="196"/>
    </row>
    <row r="149" spans="1:16" ht="14.4" hidden="1" thickTop="1" x14ac:dyDescent="0.25">
      <c r="A149" s="539"/>
      <c r="B149" s="539"/>
      <c r="C149" s="539"/>
      <c r="D149" s="539"/>
      <c r="E149" s="539"/>
      <c r="F149" s="539"/>
      <c r="G149" s="539"/>
      <c r="H149" s="561"/>
      <c r="I149" s="561"/>
      <c r="J149" s="561"/>
      <c r="K149" s="561"/>
      <c r="L149" s="561"/>
      <c r="M149" s="676">
        <v>10</v>
      </c>
      <c r="N149" s="677">
        <f>IF($H$137=10, 250000,0)</f>
        <v>0</v>
      </c>
      <c r="O149" s="196"/>
      <c r="P149" s="196"/>
    </row>
    <row r="150" spans="1:16" ht="14.4" hidden="1" thickTop="1" x14ac:dyDescent="0.25">
      <c r="A150" s="539"/>
      <c r="B150" s="539"/>
      <c r="C150" s="539"/>
      <c r="D150" s="539"/>
      <c r="E150" s="539"/>
      <c r="F150" s="539"/>
      <c r="G150" s="539"/>
      <c r="H150" s="561"/>
      <c r="I150" s="561"/>
      <c r="J150" s="561"/>
      <c r="K150" s="561"/>
      <c r="L150" s="561"/>
      <c r="M150" s="676">
        <v>11</v>
      </c>
      <c r="N150" s="677">
        <f>IF($H$137=11, 275000,0)</f>
        <v>0</v>
      </c>
      <c r="O150" s="196"/>
      <c r="P150" s="196"/>
    </row>
    <row r="151" spans="1:16" ht="14.4" hidden="1" thickTop="1" x14ac:dyDescent="0.25">
      <c r="A151" s="539"/>
      <c r="B151" s="539"/>
      <c r="C151" s="539"/>
      <c r="D151" s="539"/>
      <c r="E151" s="539"/>
      <c r="F151" s="539"/>
      <c r="G151" s="539"/>
      <c r="H151" s="561"/>
      <c r="I151" s="561"/>
      <c r="J151" s="561"/>
      <c r="K151" s="561"/>
      <c r="L151" s="561"/>
      <c r="M151" s="676">
        <v>12</v>
      </c>
      <c r="N151" s="677">
        <f>IF($H$137=12, 300000,0)</f>
        <v>0</v>
      </c>
      <c r="O151" s="196"/>
      <c r="P151" s="196"/>
    </row>
    <row r="152" spans="1:16" ht="14.4" hidden="1" thickTop="1" x14ac:dyDescent="0.25">
      <c r="A152" s="539"/>
      <c r="B152" s="539"/>
      <c r="C152" s="539"/>
      <c r="D152" s="539"/>
      <c r="E152" s="539"/>
      <c r="F152" s="539"/>
      <c r="G152" s="539"/>
      <c r="H152" s="561"/>
      <c r="I152" s="561"/>
      <c r="J152" s="561"/>
      <c r="K152" s="561"/>
      <c r="L152" s="561"/>
      <c r="M152" s="676">
        <v>13</v>
      </c>
      <c r="N152" s="677">
        <f>IF($H$137=13, 325000,0)</f>
        <v>0</v>
      </c>
      <c r="O152" s="196"/>
      <c r="P152" s="196"/>
    </row>
    <row r="153" spans="1:16" ht="14.4" hidden="1" thickTop="1" x14ac:dyDescent="0.25">
      <c r="A153" s="539"/>
      <c r="B153" s="539"/>
      <c r="C153" s="539"/>
      <c r="D153" s="539"/>
      <c r="E153" s="539"/>
      <c r="F153" s="539"/>
      <c r="G153" s="539"/>
      <c r="H153" s="561"/>
      <c r="I153" s="561"/>
      <c r="J153" s="561"/>
      <c r="K153" s="561"/>
      <c r="L153" s="561"/>
      <c r="M153" s="676">
        <v>14</v>
      </c>
      <c r="N153" s="677">
        <f>IF($H$137=14, 350000,0)</f>
        <v>0</v>
      </c>
      <c r="O153" s="196"/>
      <c r="P153" s="196"/>
    </row>
    <row r="154" spans="1:16" ht="14.4" hidden="1" thickTop="1" x14ac:dyDescent="0.25">
      <c r="A154" s="539"/>
      <c r="B154" s="539"/>
      <c r="C154" s="539"/>
      <c r="D154" s="539"/>
      <c r="E154" s="539"/>
      <c r="F154" s="539"/>
      <c r="G154" s="539"/>
      <c r="H154" s="561"/>
      <c r="I154" s="561"/>
      <c r="J154" s="561"/>
      <c r="K154" s="561"/>
      <c r="L154" s="561"/>
      <c r="M154" s="676">
        <v>15</v>
      </c>
      <c r="N154" s="677">
        <f>IF($H$137=15, 375000,0)</f>
        <v>0</v>
      </c>
      <c r="O154" s="196"/>
      <c r="P154" s="196"/>
    </row>
    <row r="155" spans="1:16" ht="14.4" hidden="1" thickTop="1" x14ac:dyDescent="0.25">
      <c r="A155" s="539"/>
      <c r="B155" s="539"/>
      <c r="C155" s="539"/>
      <c r="D155" s="539"/>
      <c r="E155" s="539"/>
      <c r="F155" s="539"/>
      <c r="G155" s="539"/>
      <c r="H155" s="561"/>
      <c r="I155" s="561"/>
      <c r="J155" s="561"/>
      <c r="K155" s="561"/>
      <c r="L155" s="561"/>
      <c r="M155" s="676">
        <v>16</v>
      </c>
      <c r="N155" s="677">
        <f>IF($H$137=16, 400000,0)</f>
        <v>0</v>
      </c>
      <c r="O155" s="196"/>
      <c r="P155" s="196"/>
    </row>
    <row r="156" spans="1:16" ht="14.4" hidden="1" thickTop="1" x14ac:dyDescent="0.25">
      <c r="A156" s="539"/>
      <c r="B156" s="539"/>
      <c r="C156" s="539"/>
      <c r="D156" s="539"/>
      <c r="E156" s="539"/>
      <c r="F156" s="539"/>
      <c r="G156" s="539"/>
      <c r="H156" s="561"/>
      <c r="I156" s="561"/>
      <c r="J156" s="561"/>
      <c r="K156" s="561"/>
      <c r="L156" s="561"/>
      <c r="M156" s="561">
        <v>17</v>
      </c>
      <c r="N156" s="677">
        <f>IF($H$137=17, 425000,0)</f>
        <v>0</v>
      </c>
      <c r="O156" s="196"/>
      <c r="P156" s="196"/>
    </row>
    <row r="157" spans="1:16" ht="14.4" hidden="1" thickTop="1" x14ac:dyDescent="0.25">
      <c r="A157" s="539"/>
      <c r="B157" s="539"/>
      <c r="C157" s="539"/>
      <c r="D157" s="539"/>
      <c r="E157" s="539"/>
      <c r="F157" s="539"/>
      <c r="G157" s="539"/>
      <c r="H157" s="561"/>
      <c r="I157" s="561"/>
      <c r="J157" s="561"/>
      <c r="K157" s="561"/>
      <c r="L157" s="561"/>
      <c r="M157" s="561">
        <v>18</v>
      </c>
      <c r="N157" s="677">
        <f>IF($H$137=18, 450000,0)</f>
        <v>0</v>
      </c>
      <c r="O157" s="196"/>
      <c r="P157" s="196"/>
    </row>
    <row r="158" spans="1:16" ht="14.4" hidden="1" thickTop="1" x14ac:dyDescent="0.25">
      <c r="A158" s="539"/>
      <c r="B158" s="539"/>
      <c r="C158" s="539"/>
      <c r="D158" s="539"/>
      <c r="E158" s="539"/>
      <c r="F158" s="539"/>
      <c r="G158" s="539"/>
      <c r="H158" s="561"/>
      <c r="I158" s="561"/>
      <c r="J158" s="561"/>
      <c r="K158" s="561"/>
      <c r="L158" s="561"/>
      <c r="M158" s="561">
        <v>19</v>
      </c>
      <c r="N158" s="677">
        <f>IF($H$137=19, 475000,0)</f>
        <v>0</v>
      </c>
      <c r="O158" s="196"/>
      <c r="P158" s="196"/>
    </row>
    <row r="159" spans="1:16" ht="14.4" hidden="1" thickTop="1" x14ac:dyDescent="0.25">
      <c r="A159" s="539"/>
      <c r="B159" s="539"/>
      <c r="C159" s="539"/>
      <c r="D159" s="539"/>
      <c r="E159" s="539"/>
      <c r="F159" s="539"/>
      <c r="G159" s="539"/>
      <c r="H159" s="561"/>
      <c r="I159" s="561"/>
      <c r="J159" s="561"/>
      <c r="K159" s="561"/>
      <c r="L159" s="561"/>
      <c r="M159" s="561">
        <v>20</v>
      </c>
      <c r="N159" s="677">
        <f>IF($H$137=20, 500000,0)</f>
        <v>0</v>
      </c>
      <c r="O159" s="196"/>
      <c r="P159" s="196"/>
    </row>
    <row r="160" spans="1:16" ht="14.4" hidden="1" thickTop="1" x14ac:dyDescent="0.25">
      <c r="A160" s="539"/>
      <c r="B160" s="539"/>
      <c r="C160" s="539"/>
      <c r="D160" s="539"/>
      <c r="E160" s="539"/>
      <c r="F160" s="539"/>
      <c r="G160" s="539"/>
      <c r="H160" s="561"/>
      <c r="I160" s="561"/>
      <c r="J160" s="561"/>
      <c r="K160" s="561"/>
      <c r="L160" s="561"/>
      <c r="M160" s="561">
        <v>21</v>
      </c>
      <c r="N160" s="677">
        <f>IF($H$137=21, 525000,0)</f>
        <v>0</v>
      </c>
      <c r="O160" s="196"/>
      <c r="P160" s="196"/>
    </row>
    <row r="161" spans="1:36" ht="14.4" hidden="1" thickTop="1" x14ac:dyDescent="0.25">
      <c r="A161" s="539"/>
      <c r="B161" s="539"/>
      <c r="C161" s="539"/>
      <c r="D161" s="539"/>
      <c r="E161" s="539"/>
      <c r="F161" s="539"/>
      <c r="G161" s="539"/>
      <c r="H161" s="561"/>
      <c r="I161" s="561"/>
      <c r="J161" s="561"/>
      <c r="K161" s="561"/>
      <c r="L161" s="561"/>
      <c r="M161" s="561">
        <v>22</v>
      </c>
      <c r="N161" s="677">
        <f>IF($H$137=22, 555000,0)</f>
        <v>0</v>
      </c>
      <c r="O161" s="196"/>
      <c r="P161" s="196"/>
    </row>
    <row r="162" spans="1:36" ht="14.4" hidden="1" thickTop="1" x14ac:dyDescent="0.25">
      <c r="A162" s="539"/>
      <c r="B162" s="539"/>
      <c r="C162" s="539"/>
      <c r="D162" s="539"/>
      <c r="E162" s="539"/>
      <c r="F162" s="539"/>
      <c r="G162" s="539"/>
      <c r="H162" s="561"/>
      <c r="I162" s="561"/>
      <c r="J162" s="561"/>
      <c r="K162" s="561"/>
      <c r="L162" s="561"/>
      <c r="M162" s="561">
        <v>23</v>
      </c>
      <c r="N162" s="677">
        <f>IF($H$137=23, 575000,0)</f>
        <v>0</v>
      </c>
      <c r="O162" s="196"/>
      <c r="P162" s="196"/>
    </row>
    <row r="163" spans="1:36" ht="14.4" hidden="1" thickTop="1" x14ac:dyDescent="0.25">
      <c r="A163" s="539"/>
      <c r="B163" s="539"/>
      <c r="C163" s="539"/>
      <c r="D163" s="539"/>
      <c r="E163" s="539"/>
      <c r="F163" s="539"/>
      <c r="G163" s="539"/>
      <c r="H163" s="561"/>
      <c r="I163" s="561"/>
      <c r="J163" s="561"/>
      <c r="K163" s="561"/>
      <c r="L163" s="561"/>
      <c r="M163" s="561">
        <v>24</v>
      </c>
      <c r="N163" s="677">
        <f>IF($H$137=24, 600000,0)</f>
        <v>0</v>
      </c>
      <c r="O163" s="196"/>
      <c r="P163" s="196"/>
    </row>
    <row r="164" spans="1:36" ht="14.4" hidden="1" thickTop="1" x14ac:dyDescent="0.25">
      <c r="A164" s="539"/>
      <c r="B164" s="539"/>
      <c r="C164" s="539"/>
      <c r="D164" s="539"/>
      <c r="E164" s="539"/>
      <c r="F164" s="539"/>
      <c r="G164" s="539"/>
      <c r="H164" s="561"/>
      <c r="I164" s="561"/>
      <c r="J164" s="561"/>
      <c r="K164" s="561"/>
      <c r="L164" s="561"/>
      <c r="M164" s="561">
        <v>25</v>
      </c>
      <c r="N164" s="677">
        <f>IF($H$137=25, 625000,0)</f>
        <v>0</v>
      </c>
      <c r="O164" s="196"/>
      <c r="P164" s="196"/>
    </row>
    <row r="165" spans="1:36" ht="14.4" hidden="1" thickTop="1" x14ac:dyDescent="0.25">
      <c r="A165" s="539"/>
      <c r="B165" s="539"/>
      <c r="C165" s="539"/>
      <c r="D165" s="539"/>
      <c r="E165" s="539"/>
      <c r="F165" s="539"/>
      <c r="G165" s="539"/>
      <c r="H165" s="561"/>
      <c r="I165" s="561"/>
      <c r="J165" s="561"/>
      <c r="K165" s="561"/>
      <c r="L165" s="561"/>
      <c r="M165" s="561"/>
      <c r="N165" s="677"/>
      <c r="O165" s="196"/>
      <c r="P165" s="196"/>
    </row>
    <row r="166" spans="1:36" ht="15" thickTop="1" thickBot="1" x14ac:dyDescent="0.3">
      <c r="A166" s="453"/>
      <c r="B166" s="453"/>
      <c r="C166" s="453"/>
      <c r="D166" s="453"/>
      <c r="E166" s="328"/>
      <c r="F166" s="328"/>
      <c r="G166" s="328"/>
      <c r="H166" s="328"/>
      <c r="I166" s="328"/>
      <c r="J166" s="328"/>
      <c r="K166" s="328"/>
      <c r="L166" s="328"/>
      <c r="M166" s="328"/>
      <c r="N166" s="443"/>
      <c r="O166" s="90"/>
      <c r="P166" s="90"/>
    </row>
    <row r="167" spans="1:36" ht="15.6" thickTop="1" thickBot="1" x14ac:dyDescent="0.35">
      <c r="A167" s="1226" t="s">
        <v>427</v>
      </c>
      <c r="B167" s="1226"/>
      <c r="C167" s="319"/>
      <c r="D167" s="319"/>
      <c r="E167" s="320"/>
      <c r="F167" s="320"/>
      <c r="G167" s="320"/>
      <c r="H167" s="321" t="s">
        <v>60</v>
      </c>
      <c r="I167" s="320"/>
      <c r="J167" s="320"/>
      <c r="K167" s="458"/>
      <c r="L167" s="320"/>
      <c r="M167" s="320"/>
      <c r="N167" s="1094" t="s">
        <v>226</v>
      </c>
      <c r="O167" s="192"/>
      <c r="P167" s="192"/>
    </row>
    <row r="168" spans="1:36" ht="14.4" thickTop="1" x14ac:dyDescent="0.25">
      <c r="A168" s="1226" t="s">
        <v>329</v>
      </c>
      <c r="B168" s="1226"/>
      <c r="C168" s="319"/>
      <c r="D168" s="319"/>
      <c r="E168" s="320"/>
      <c r="F168" s="320"/>
      <c r="G168" s="320"/>
      <c r="H168" s="320"/>
      <c r="I168" s="320"/>
      <c r="J168" s="320"/>
      <c r="K168" s="320"/>
      <c r="L168" s="438"/>
      <c r="M168" s="320"/>
      <c r="N168" s="438"/>
      <c r="O168" s="90"/>
      <c r="P168" s="90"/>
    </row>
    <row r="169" spans="1:36" x14ac:dyDescent="0.25">
      <c r="A169" s="1226" t="s">
        <v>339</v>
      </c>
      <c r="B169" s="1226"/>
      <c r="C169" s="319"/>
      <c r="D169" s="319"/>
      <c r="E169" s="320"/>
      <c r="F169" s="320"/>
      <c r="G169" s="320"/>
      <c r="H169" s="320"/>
      <c r="I169" s="320"/>
      <c r="J169" s="320"/>
      <c r="K169" s="320"/>
      <c r="L169" s="438"/>
      <c r="M169" s="320"/>
      <c r="N169" s="438"/>
      <c r="O169" s="90"/>
      <c r="P169" s="90"/>
    </row>
    <row r="170" spans="1:36" ht="23.25" customHeight="1" thickBot="1" x14ac:dyDescent="0.3">
      <c r="A170" s="1226" t="s">
        <v>340</v>
      </c>
      <c r="B170" s="1226"/>
      <c r="C170" s="319"/>
      <c r="D170" s="319"/>
      <c r="E170" s="320"/>
      <c r="F170" s="320"/>
      <c r="G170" s="320"/>
      <c r="H170" s="320"/>
      <c r="I170" s="320"/>
      <c r="J170" s="320"/>
      <c r="K170" s="320"/>
      <c r="L170" s="438"/>
      <c r="M170" s="320"/>
      <c r="N170" s="320"/>
      <c r="O170" s="23"/>
      <c r="P170" s="23"/>
    </row>
    <row r="171" spans="1:36" ht="15" thickTop="1" thickBot="1" x14ac:dyDescent="0.3">
      <c r="A171" s="1226" t="s">
        <v>363</v>
      </c>
      <c r="B171" s="1226"/>
      <c r="C171" s="320"/>
      <c r="D171" s="320"/>
      <c r="E171" s="320"/>
      <c r="F171" s="320"/>
      <c r="G171" s="320"/>
      <c r="H171" s="320"/>
      <c r="I171" s="320"/>
      <c r="J171" s="320"/>
      <c r="K171" s="320"/>
      <c r="L171" s="459"/>
      <c r="M171" s="320"/>
      <c r="N171" s="460"/>
      <c r="O171" s="197"/>
      <c r="P171" s="197"/>
    </row>
    <row r="172" spans="1:36" ht="15.6" thickTop="1" thickBot="1" x14ac:dyDescent="0.35">
      <c r="A172" s="1228"/>
      <c r="B172" s="1228"/>
      <c r="C172" s="319"/>
      <c r="D172" s="319"/>
      <c r="E172" s="320"/>
      <c r="F172" s="320"/>
      <c r="G172" s="320"/>
      <c r="H172" s="319"/>
      <c r="I172" s="319"/>
      <c r="J172" s="319"/>
      <c r="K172" s="320"/>
      <c r="L172" s="459"/>
      <c r="M172" s="320"/>
      <c r="N172" s="460"/>
      <c r="O172" s="197"/>
      <c r="P172" s="197"/>
    </row>
    <row r="173" spans="1:36" ht="15.6" thickTop="1" thickBot="1" x14ac:dyDescent="0.35">
      <c r="A173" s="630"/>
      <c r="B173" s="630"/>
      <c r="C173" s="450"/>
      <c r="D173" s="450"/>
      <c r="E173" s="325"/>
      <c r="F173" s="325"/>
      <c r="G173" s="325"/>
      <c r="H173" s="450"/>
      <c r="I173" s="450"/>
      <c r="J173" s="450"/>
      <c r="K173" s="325"/>
      <c r="L173" s="244"/>
      <c r="M173" s="325"/>
      <c r="N173" s="325"/>
      <c r="O173" s="23"/>
      <c r="P173" s="23"/>
    </row>
    <row r="174" spans="1:36" ht="15.6" thickTop="1" thickBot="1" x14ac:dyDescent="0.35">
      <c r="A174" s="1226" t="s">
        <v>428</v>
      </c>
      <c r="B174" s="1226"/>
      <c r="C174" s="319"/>
      <c r="D174" s="319"/>
      <c r="E174" s="320"/>
      <c r="F174" s="320"/>
      <c r="G174" s="320"/>
      <c r="H174" s="321" t="s">
        <v>60</v>
      </c>
      <c r="I174" s="458"/>
      <c r="J174" s="320"/>
      <c r="K174" s="320"/>
      <c r="L174" s="438"/>
      <c r="M174" s="320"/>
      <c r="N174" s="1094" t="s">
        <v>119</v>
      </c>
      <c r="O174" s="192"/>
      <c r="P174" s="192"/>
      <c r="AE174" s="230"/>
      <c r="AF174" s="230"/>
      <c r="AI174" s="230"/>
      <c r="AJ174" s="230"/>
    </row>
    <row r="175" spans="1:36" ht="14.4" thickTop="1" x14ac:dyDescent="0.25">
      <c r="A175" s="1226" t="s">
        <v>69</v>
      </c>
      <c r="B175" s="1226"/>
      <c r="C175" s="319"/>
      <c r="D175" s="319"/>
      <c r="E175" s="320"/>
      <c r="F175" s="320"/>
      <c r="G175" s="320"/>
      <c r="H175" s="320"/>
      <c r="I175" s="320"/>
      <c r="J175" s="320"/>
      <c r="K175" s="320"/>
      <c r="L175" s="438"/>
      <c r="M175" s="438"/>
      <c r="N175" s="438"/>
      <c r="O175" s="198"/>
      <c r="P175" s="198"/>
      <c r="AE175" s="230"/>
      <c r="AF175" s="230"/>
      <c r="AI175" s="230"/>
      <c r="AJ175" s="230"/>
    </row>
    <row r="176" spans="1:36" x14ac:dyDescent="0.25">
      <c r="A176" s="1226" t="s">
        <v>278</v>
      </c>
      <c r="B176" s="1226"/>
      <c r="C176" s="319"/>
      <c r="D176" s="319"/>
      <c r="E176" s="320"/>
      <c r="F176" s="320"/>
      <c r="G176" s="320"/>
      <c r="H176" s="320"/>
      <c r="I176" s="320"/>
      <c r="J176" s="320"/>
      <c r="K176" s="320"/>
      <c r="L176" s="438"/>
      <c r="M176" s="438"/>
      <c r="N176" s="438"/>
      <c r="O176" s="198"/>
      <c r="P176" s="198"/>
      <c r="Q176" s="326"/>
      <c r="AE176" s="230"/>
      <c r="AF176" s="230"/>
      <c r="AI176" s="230"/>
      <c r="AJ176" s="230"/>
    </row>
    <row r="177" spans="1:57" x14ac:dyDescent="0.25">
      <c r="A177" s="1226" t="s">
        <v>116</v>
      </c>
      <c r="B177" s="1226"/>
      <c r="C177" s="319"/>
      <c r="D177" s="319"/>
      <c r="E177" s="320"/>
      <c r="F177" s="320"/>
      <c r="G177" s="320"/>
      <c r="H177" s="320"/>
      <c r="I177" s="320"/>
      <c r="J177" s="320"/>
      <c r="K177" s="320"/>
      <c r="L177" s="438"/>
      <c r="M177" s="438"/>
      <c r="N177" s="438"/>
      <c r="P177" s="198"/>
      <c r="Q177" s="326"/>
      <c r="AE177" s="230"/>
      <c r="AF177" s="230"/>
      <c r="AI177" s="230"/>
      <c r="AJ177" s="230"/>
    </row>
    <row r="178" spans="1:57" x14ac:dyDescent="0.25">
      <c r="A178" s="1226" t="s">
        <v>281</v>
      </c>
      <c r="B178" s="1226"/>
      <c r="C178" s="320"/>
      <c r="D178" s="320"/>
      <c r="E178" s="320"/>
      <c r="F178" s="320"/>
      <c r="G178" s="320"/>
      <c r="H178" s="320"/>
      <c r="I178" s="320"/>
      <c r="J178" s="459"/>
      <c r="K178" s="320"/>
      <c r="L178" s="1240"/>
      <c r="M178" s="320"/>
      <c r="N178" s="320"/>
      <c r="AE178" s="230"/>
      <c r="AF178" s="230"/>
      <c r="AI178" s="230"/>
      <c r="AJ178" s="230"/>
      <c r="AW178" s="866"/>
    </row>
    <row r="179" spans="1:57" x14ac:dyDescent="0.25">
      <c r="A179" s="319" t="s">
        <v>264</v>
      </c>
      <c r="B179" s="319"/>
      <c r="C179" s="320"/>
      <c r="D179" s="320"/>
      <c r="E179" s="1394"/>
      <c r="G179" s="1394"/>
      <c r="H179" s="1375"/>
      <c r="I179" s="1375"/>
      <c r="K179" s="1394" t="s">
        <v>230</v>
      </c>
      <c r="L179" s="1375"/>
      <c r="M179" s="1375"/>
      <c r="N179" s="1375"/>
      <c r="S179" s="1079"/>
      <c r="AE179" s="230"/>
      <c r="AF179" s="230"/>
      <c r="AI179" s="230"/>
      <c r="AJ179" s="230"/>
      <c r="AU179" s="1"/>
      <c r="AV179" s="866"/>
      <c r="AW179" s="866"/>
      <c r="AX179" s="1"/>
      <c r="AY179" s="1"/>
      <c r="AZ179" s="1"/>
    </row>
    <row r="180" spans="1:57" x14ac:dyDescent="0.25">
      <c r="A180" s="319"/>
      <c r="B180" s="319"/>
      <c r="C180" s="320"/>
      <c r="D180" s="320"/>
      <c r="E180" s="750" t="s">
        <v>229</v>
      </c>
      <c r="G180" s="751"/>
      <c r="H180" s="1229" t="s">
        <v>227</v>
      </c>
      <c r="I180" s="1230" t="s">
        <v>228</v>
      </c>
      <c r="K180" s="1230" t="s">
        <v>265</v>
      </c>
      <c r="L180" s="1230" t="s">
        <v>280</v>
      </c>
      <c r="M180" s="1230" t="s">
        <v>283</v>
      </c>
      <c r="N180" s="1224" t="s">
        <v>4</v>
      </c>
      <c r="O180" s="212" t="s">
        <v>282</v>
      </c>
      <c r="P180" s="197"/>
      <c r="S180" s="1079"/>
      <c r="AE180" s="230"/>
      <c r="AF180" s="230"/>
      <c r="AI180" s="230"/>
      <c r="AJ180" s="230"/>
      <c r="AU180" s="1"/>
      <c r="AV180" s="866"/>
      <c r="AW180" s="866"/>
      <c r="AX180" s="1"/>
      <c r="AY180" s="1"/>
      <c r="AZ180" s="1"/>
    </row>
    <row r="181" spans="1:57" ht="31.5" customHeight="1" x14ac:dyDescent="0.3">
      <c r="A181" s="1377"/>
      <c r="B181" s="1377"/>
      <c r="C181" s="1377"/>
      <c r="D181" s="1377"/>
      <c r="E181" s="753" t="s">
        <v>232</v>
      </c>
      <c r="G181" s="754"/>
      <c r="H181" s="681"/>
      <c r="I181" s="681"/>
      <c r="K181" s="682"/>
      <c r="L181" s="682"/>
      <c r="M181" s="682"/>
      <c r="N181" s="761">
        <f>SUM(H181:M181)</f>
        <v>0</v>
      </c>
      <c r="O181" s="216">
        <f>SUM(I181:L181)</f>
        <v>0</v>
      </c>
      <c r="P181" s="215">
        <f>IF(AND(O181&lt;25000,N181&gt;25000,M181&gt;O181),25000-O181,IF(AND(O181&lt;25000,M181&lt;25000),M181, 0))</f>
        <v>0</v>
      </c>
      <c r="S181" s="1079"/>
      <c r="AE181" s="230"/>
      <c r="AF181" s="230"/>
      <c r="AI181" s="230"/>
      <c r="AJ181" s="230"/>
      <c r="AU181" s="1"/>
      <c r="AV181" s="866"/>
      <c r="AW181" s="866"/>
      <c r="AX181" s="1"/>
      <c r="AY181" s="1"/>
      <c r="AZ181" s="1"/>
    </row>
    <row r="182" spans="1:57" ht="31.5" customHeight="1" x14ac:dyDescent="0.25">
      <c r="A182" s="1377"/>
      <c r="B182" s="1377"/>
      <c r="C182" s="1377"/>
      <c r="D182" s="1377"/>
      <c r="E182" s="753" t="s">
        <v>233</v>
      </c>
      <c r="G182" s="756"/>
      <c r="H182" s="681"/>
      <c r="I182" s="681"/>
      <c r="K182" s="682"/>
      <c r="L182" s="682"/>
      <c r="M182" s="682"/>
      <c r="N182" s="761">
        <f>SUM(H182:M182)</f>
        <v>0</v>
      </c>
      <c r="O182" s="216">
        <f>SUM(I182:L182)</f>
        <v>0</v>
      </c>
      <c r="P182" s="215">
        <f>IF(AND(O182&lt;25000,N182&gt;25000,M182&gt;O182),25000-O182,IF(AND(O182&lt;25000,M182&lt;25000),M182, 0))</f>
        <v>0</v>
      </c>
      <c r="S182" s="1079"/>
      <c r="AE182" s="230"/>
      <c r="AF182" s="230"/>
      <c r="AI182" s="230"/>
      <c r="AJ182" s="230"/>
      <c r="AU182" s="1"/>
      <c r="AV182" s="866"/>
      <c r="AW182" s="866"/>
      <c r="AX182" s="1"/>
      <c r="AY182" s="1"/>
      <c r="AZ182" s="1"/>
    </row>
    <row r="183" spans="1:57" ht="14.4" hidden="1" x14ac:dyDescent="0.3">
      <c r="A183" s="630"/>
      <c r="B183" s="630"/>
      <c r="C183" s="450"/>
      <c r="D183" s="450"/>
      <c r="E183" s="325"/>
      <c r="F183" s="325"/>
      <c r="G183" s="325"/>
      <c r="H183" s="450"/>
      <c r="I183" s="450"/>
      <c r="J183" s="450"/>
      <c r="K183" s="325"/>
      <c r="L183" s="244"/>
      <c r="M183" s="325"/>
      <c r="N183" s="325"/>
      <c r="O183" s="23"/>
      <c r="P183" s="23"/>
      <c r="R183" s="1079"/>
      <c r="AV183" s="866"/>
      <c r="AW183" s="866"/>
    </row>
    <row r="184" spans="1:57" hidden="1" x14ac:dyDescent="0.25">
      <c r="A184" s="539"/>
      <c r="B184" s="539"/>
      <c r="C184" s="539"/>
      <c r="D184" s="539"/>
      <c r="E184" s="539"/>
      <c r="F184" s="539"/>
      <c r="G184" s="539"/>
      <c r="H184" s="539"/>
      <c r="I184" s="539"/>
      <c r="J184" s="539"/>
      <c r="K184" s="539"/>
      <c r="L184" s="539"/>
      <c r="M184" s="539"/>
      <c r="N184" s="684"/>
      <c r="O184" s="199"/>
      <c r="P184" s="199"/>
      <c r="AV184" s="866"/>
      <c r="AW184" s="866"/>
    </row>
    <row r="185" spans="1:57" hidden="1" x14ac:dyDescent="0.25">
      <c r="A185" s="539"/>
      <c r="B185" s="539"/>
      <c r="C185" s="539"/>
      <c r="D185" s="539"/>
      <c r="E185" s="539"/>
      <c r="F185" s="539"/>
      <c r="G185" s="539"/>
      <c r="H185" s="561"/>
      <c r="I185" s="561"/>
      <c r="J185" s="561"/>
      <c r="K185" s="561"/>
      <c r="L185" s="561"/>
      <c r="M185" s="685" t="s">
        <v>71</v>
      </c>
      <c r="N185" s="684">
        <f>SUM(N139:N164)+SUM(N171:N172)+SUM(P181:P182)</f>
        <v>0</v>
      </c>
      <c r="O185" s="199"/>
      <c r="P185" s="199"/>
      <c r="AV185" s="866"/>
      <c r="AW185" s="866"/>
    </row>
    <row r="186" spans="1:57" s="13" customFormat="1" ht="14.4" thickBot="1" x14ac:dyDescent="0.3">
      <c r="A186" s="453"/>
      <c r="B186" s="453"/>
      <c r="C186" s="453"/>
      <c r="D186" s="453"/>
      <c r="E186" s="328"/>
      <c r="F186" s="328"/>
      <c r="G186" s="328"/>
      <c r="H186" s="328"/>
      <c r="I186" s="328"/>
      <c r="J186" s="328"/>
      <c r="K186" s="328"/>
      <c r="L186" s="328"/>
      <c r="M186" s="328"/>
      <c r="N186" s="443"/>
      <c r="O186" s="90"/>
      <c r="P186" s="90"/>
      <c r="Q186" s="326"/>
      <c r="R186" s="640"/>
      <c r="S186" s="640"/>
      <c r="T186" s="326"/>
      <c r="U186" s="326"/>
      <c r="V186" s="326"/>
      <c r="W186" s="326"/>
      <c r="X186" s="326"/>
      <c r="Y186" s="326"/>
      <c r="Z186" s="326"/>
      <c r="AA186" s="326"/>
      <c r="AB186" s="326"/>
      <c r="AC186" s="326"/>
      <c r="AD186" s="326"/>
      <c r="AE186" s="510"/>
      <c r="AF186" s="510"/>
      <c r="AG186" s="326"/>
      <c r="AH186" s="326"/>
      <c r="AI186" s="510"/>
      <c r="AJ186" s="510"/>
      <c r="AK186" s="326"/>
      <c r="AL186" s="326"/>
      <c r="AM186" s="326"/>
      <c r="AN186" s="326"/>
      <c r="AO186" s="326"/>
      <c r="AP186" s="326"/>
      <c r="AQ186" s="326"/>
      <c r="AR186" s="326"/>
      <c r="AS186" s="326"/>
      <c r="AT186" s="326"/>
      <c r="AU186" s="326"/>
      <c r="AV186" s="866"/>
      <c r="AW186" s="866"/>
      <c r="AX186" s="326"/>
      <c r="AY186" s="326"/>
      <c r="AZ186" s="326"/>
      <c r="BA186" s="326"/>
      <c r="BB186" s="326"/>
      <c r="BC186" s="326"/>
      <c r="BD186" s="326"/>
      <c r="BE186" s="326"/>
    </row>
    <row r="187" spans="1:57" ht="15" thickTop="1" thickBot="1" x14ac:dyDescent="0.3">
      <c r="A187" s="1226" t="s">
        <v>377</v>
      </c>
      <c r="B187" s="1226"/>
      <c r="C187" s="319"/>
      <c r="D187" s="319"/>
      <c r="E187" s="320"/>
      <c r="F187" s="320"/>
      <c r="G187" s="320"/>
      <c r="H187" s="320"/>
      <c r="I187" s="320"/>
      <c r="J187" s="320"/>
      <c r="K187" s="320"/>
      <c r="L187" s="321" t="s">
        <v>60</v>
      </c>
      <c r="M187" s="320"/>
      <c r="N187" s="1094" t="s">
        <v>273</v>
      </c>
      <c r="O187" s="23"/>
      <c r="P187" s="23"/>
      <c r="AV187" s="866"/>
      <c r="AW187" s="866"/>
    </row>
    <row r="188" spans="1:57" ht="27.75" customHeight="1" thickTop="1" x14ac:dyDescent="0.25">
      <c r="A188" s="1226" t="s">
        <v>231</v>
      </c>
      <c r="B188" s="1226"/>
      <c r="C188" s="319"/>
      <c r="D188" s="319"/>
      <c r="E188" s="320"/>
      <c r="F188" s="320"/>
      <c r="G188" s="320"/>
      <c r="H188" s="320"/>
      <c r="I188" s="320"/>
      <c r="J188" s="320"/>
      <c r="K188" s="320"/>
      <c r="L188" s="320"/>
      <c r="M188" s="320"/>
      <c r="N188" s="438"/>
      <c r="O188" s="90"/>
      <c r="P188" s="90"/>
      <c r="AV188" s="866"/>
      <c r="AW188" s="866"/>
    </row>
    <row r="189" spans="1:57" x14ac:dyDescent="0.25">
      <c r="A189" s="1232" t="s">
        <v>132</v>
      </c>
      <c r="B189" s="1232"/>
      <c r="C189" s="319"/>
      <c r="D189" s="319"/>
      <c r="E189" s="320"/>
      <c r="F189" s="320"/>
      <c r="G189" s="320"/>
      <c r="H189" s="320"/>
      <c r="I189" s="320"/>
      <c r="J189" s="320"/>
      <c r="K189" s="320"/>
      <c r="L189" s="320"/>
      <c r="M189" s="320"/>
      <c r="N189" s="320"/>
      <c r="AV189" s="866"/>
      <c r="AW189" s="866"/>
    </row>
    <row r="190" spans="1:57" ht="18" customHeight="1" x14ac:dyDescent="0.25">
      <c r="A190" s="1231" t="s">
        <v>133</v>
      </c>
      <c r="B190" s="1231"/>
      <c r="C190" s="319"/>
      <c r="D190" s="319"/>
      <c r="E190" s="320"/>
      <c r="F190" s="320"/>
      <c r="G190" s="320"/>
      <c r="H190" s="320"/>
      <c r="I190" s="320"/>
      <c r="J190" s="320"/>
      <c r="K190" s="320"/>
      <c r="L190" s="320"/>
      <c r="M190" s="320"/>
      <c r="N190" s="320"/>
      <c r="AV190" s="866"/>
      <c r="AW190" s="866"/>
    </row>
    <row r="191" spans="1:57" ht="18" customHeight="1" x14ac:dyDescent="0.25">
      <c r="A191" s="1233" t="s">
        <v>135</v>
      </c>
      <c r="B191" s="1233"/>
      <c r="C191" s="319"/>
      <c r="D191" s="319"/>
      <c r="E191" s="320"/>
      <c r="F191" s="320"/>
      <c r="G191" s="320"/>
      <c r="H191" s="320"/>
      <c r="I191" s="320"/>
      <c r="J191" s="320"/>
      <c r="K191" s="320"/>
      <c r="L191" s="320"/>
      <c r="M191" s="320"/>
      <c r="N191" s="320"/>
    </row>
    <row r="192" spans="1:57" ht="17.25" customHeight="1" thickBot="1" x14ac:dyDescent="0.3">
      <c r="A192" s="453"/>
      <c r="B192" s="453"/>
      <c r="C192" s="453"/>
      <c r="D192" s="453"/>
      <c r="E192" s="328"/>
      <c r="F192" s="328"/>
      <c r="G192" s="328"/>
      <c r="H192" s="328"/>
      <c r="I192" s="328"/>
      <c r="J192" s="328"/>
      <c r="K192" s="328"/>
      <c r="L192" s="328"/>
      <c r="M192" s="328"/>
      <c r="N192" s="443"/>
      <c r="O192" s="90"/>
      <c r="P192" s="90"/>
    </row>
    <row r="193" spans="1:57" ht="15" thickTop="1" thickBot="1" x14ac:dyDescent="0.3">
      <c r="A193" s="1226" t="s">
        <v>378</v>
      </c>
      <c r="B193" s="1226"/>
      <c r="C193" s="319"/>
      <c r="D193" s="319"/>
      <c r="E193" s="320"/>
      <c r="F193" s="320"/>
      <c r="G193" s="320"/>
      <c r="H193" s="459"/>
      <c r="I193" s="459"/>
      <c r="J193" s="321" t="s">
        <v>60</v>
      </c>
      <c r="K193" s="459"/>
      <c r="L193" s="320"/>
      <c r="M193" s="320"/>
      <c r="N193" s="1094" t="s">
        <v>274</v>
      </c>
      <c r="O193" s="192"/>
      <c r="P193" s="192"/>
    </row>
    <row r="194" spans="1:57" ht="14.4" thickTop="1" x14ac:dyDescent="0.25">
      <c r="A194" s="1234" t="s">
        <v>206</v>
      </c>
      <c r="B194" s="1234"/>
      <c r="C194" s="464"/>
      <c r="D194" s="464"/>
      <c r="E194" s="459"/>
      <c r="F194" s="459"/>
      <c r="G194" s="459"/>
      <c r="H194" s="459"/>
      <c r="I194" s="459"/>
      <c r="J194" s="459"/>
      <c r="K194" s="459"/>
      <c r="L194" s="459"/>
      <c r="M194" s="459"/>
      <c r="N194" s="311"/>
      <c r="O194" s="192"/>
      <c r="P194" s="192"/>
    </row>
    <row r="195" spans="1:57" s="867" customFormat="1" ht="14.4" thickBot="1" x14ac:dyDescent="0.3">
      <c r="A195" s="1150"/>
      <c r="B195" s="1150"/>
      <c r="C195" s="628"/>
      <c r="D195" s="628"/>
      <c r="E195" s="1156"/>
      <c r="F195" s="1156"/>
      <c r="G195" s="1156"/>
      <c r="H195" s="1156"/>
      <c r="I195" s="1156"/>
      <c r="J195" s="1156"/>
      <c r="K195" s="1156"/>
      <c r="L195" s="1156"/>
      <c r="M195" s="1156"/>
      <c r="N195" s="1320"/>
      <c r="O195" s="192"/>
      <c r="P195" s="192"/>
      <c r="Q195" s="866"/>
      <c r="R195" s="642"/>
      <c r="S195" s="642"/>
      <c r="T195" s="866"/>
      <c r="U195" s="866"/>
      <c r="V195" s="866"/>
      <c r="W195" s="866"/>
      <c r="X195" s="866"/>
      <c r="Y195" s="866"/>
      <c r="Z195" s="866"/>
      <c r="AA195" s="866"/>
      <c r="AB195" s="866"/>
      <c r="AC195" s="866"/>
      <c r="AD195" s="866"/>
      <c r="AE195" s="868"/>
      <c r="AF195" s="868"/>
      <c r="AG195" s="866"/>
      <c r="AH195" s="866"/>
      <c r="AI195" s="868"/>
      <c r="AJ195" s="868"/>
      <c r="AK195" s="866"/>
      <c r="AL195" s="866"/>
      <c r="AM195" s="866"/>
      <c r="AN195" s="866"/>
      <c r="AO195" s="866"/>
      <c r="AP195" s="866"/>
      <c r="AQ195" s="866"/>
      <c r="AR195" s="866"/>
      <c r="AS195" s="866"/>
      <c r="AT195" s="866"/>
      <c r="AU195" s="866"/>
      <c r="AV195" s="866"/>
      <c r="AW195" s="866"/>
      <c r="AX195" s="866"/>
      <c r="AY195" s="866"/>
      <c r="AZ195" s="866"/>
      <c r="BA195" s="866"/>
      <c r="BB195" s="866"/>
      <c r="BC195" s="866"/>
      <c r="BD195" s="866"/>
      <c r="BE195" s="866"/>
    </row>
    <row r="196" spans="1:57" ht="16.5" customHeight="1" thickTop="1" thickBot="1" x14ac:dyDescent="0.3">
      <c r="A196" s="1093" t="s">
        <v>583</v>
      </c>
      <c r="B196" s="1093"/>
      <c r="C196" s="438"/>
      <c r="D196" s="438"/>
      <c r="E196" s="438"/>
      <c r="F196" s="438"/>
      <c r="G196" s="438"/>
      <c r="H196" s="438"/>
      <c r="I196" s="438"/>
      <c r="J196" s="438"/>
      <c r="K196" s="439"/>
      <c r="L196" s="321" t="s">
        <v>60</v>
      </c>
      <c r="M196" s="438"/>
      <c r="N196" s="311" t="s">
        <v>559</v>
      </c>
      <c r="O196" s="90"/>
      <c r="P196" s="90"/>
    </row>
    <row r="197" spans="1:57" ht="16.5" customHeight="1" thickTop="1" x14ac:dyDescent="0.25">
      <c r="A197" s="1093" t="s">
        <v>586</v>
      </c>
      <c r="B197" s="1093"/>
      <c r="C197" s="438"/>
      <c r="D197" s="438"/>
      <c r="E197" s="438"/>
      <c r="F197" s="438"/>
      <c r="G197" s="438"/>
      <c r="H197" s="438"/>
      <c r="I197" s="438"/>
      <c r="J197" s="438"/>
      <c r="K197" s="439"/>
      <c r="L197" s="438"/>
      <c r="M197" s="438"/>
      <c r="N197" s="320"/>
      <c r="O197" s="23"/>
      <c r="P197" s="23"/>
    </row>
    <row r="198" spans="1:57" ht="16.5" customHeight="1" x14ac:dyDescent="0.25">
      <c r="A198" s="1093" t="s">
        <v>585</v>
      </c>
      <c r="B198" s="1093"/>
      <c r="C198" s="438"/>
      <c r="D198" s="438"/>
      <c r="E198" s="438"/>
      <c r="F198" s="438"/>
      <c r="G198" s="438"/>
      <c r="H198" s="438"/>
      <c r="I198" s="438"/>
      <c r="J198" s="438"/>
      <c r="K198" s="439"/>
      <c r="L198" s="438"/>
      <c r="M198" s="438"/>
      <c r="N198" s="320"/>
      <c r="O198" s="23"/>
      <c r="P198" s="23"/>
    </row>
    <row r="199" spans="1:57" s="867" customFormat="1" ht="16.5" customHeight="1" x14ac:dyDescent="0.25">
      <c r="A199" s="1093" t="s">
        <v>562</v>
      </c>
      <c r="B199" s="1093"/>
      <c r="C199" s="438"/>
      <c r="D199" s="438"/>
      <c r="E199" s="438"/>
      <c r="F199" s="438"/>
      <c r="G199" s="438"/>
      <c r="H199" s="438"/>
      <c r="I199" s="438"/>
      <c r="J199" s="438"/>
      <c r="K199" s="439"/>
      <c r="L199" s="438"/>
      <c r="M199" s="438"/>
      <c r="N199" s="320"/>
      <c r="O199" s="23"/>
      <c r="P199" s="23"/>
      <c r="Q199" s="866"/>
      <c r="R199" s="642"/>
      <c r="S199" s="642"/>
      <c r="T199" s="866"/>
      <c r="U199" s="866"/>
      <c r="V199" s="866"/>
      <c r="W199" s="866"/>
      <c r="X199" s="866"/>
      <c r="Y199" s="866"/>
      <c r="Z199" s="866"/>
      <c r="AA199" s="866"/>
      <c r="AB199" s="866"/>
      <c r="AC199" s="866"/>
      <c r="AD199" s="866"/>
      <c r="AE199" s="868"/>
      <c r="AF199" s="868"/>
      <c r="AG199" s="866"/>
      <c r="AH199" s="866"/>
      <c r="AI199" s="868"/>
      <c r="AJ199" s="868"/>
      <c r="AK199" s="866"/>
      <c r="AL199" s="866"/>
      <c r="AM199" s="866"/>
      <c r="AN199" s="866"/>
      <c r="AO199" s="866"/>
      <c r="AP199" s="866"/>
      <c r="AQ199" s="866"/>
      <c r="AR199" s="866"/>
      <c r="AS199" s="866"/>
      <c r="AT199" s="866"/>
      <c r="AU199" s="866"/>
      <c r="AV199" s="866"/>
      <c r="AW199" s="866"/>
      <c r="AX199" s="866"/>
      <c r="AY199" s="866"/>
      <c r="AZ199" s="866"/>
      <c r="BA199" s="866"/>
      <c r="BB199" s="866"/>
      <c r="BC199" s="866"/>
      <c r="BD199" s="866"/>
      <c r="BE199" s="866"/>
    </row>
    <row r="200" spans="1:57" s="867" customFormat="1" ht="16.5" customHeight="1" x14ac:dyDescent="0.25">
      <c r="A200" s="1093" t="s">
        <v>584</v>
      </c>
      <c r="B200" s="1093"/>
      <c r="C200" s="438"/>
      <c r="D200" s="438"/>
      <c r="E200" s="438"/>
      <c r="F200" s="438"/>
      <c r="G200" s="438"/>
      <c r="H200" s="438"/>
      <c r="I200" s="438"/>
      <c r="J200" s="438"/>
      <c r="K200" s="439"/>
      <c r="L200" s="438"/>
      <c r="M200" s="438"/>
      <c r="N200" s="320"/>
      <c r="O200" s="23"/>
      <c r="P200" s="23"/>
      <c r="Q200" s="866"/>
      <c r="R200" s="642"/>
      <c r="S200" s="642"/>
      <c r="T200" s="866"/>
      <c r="U200" s="866"/>
      <c r="V200" s="866"/>
      <c r="W200" s="866"/>
      <c r="X200" s="866"/>
      <c r="Y200" s="866"/>
      <c r="Z200" s="866"/>
      <c r="AA200" s="866"/>
      <c r="AB200" s="866"/>
      <c r="AC200" s="866"/>
      <c r="AD200" s="866"/>
      <c r="AE200" s="868"/>
      <c r="AF200" s="868"/>
      <c r="AG200" s="866"/>
      <c r="AH200" s="866"/>
      <c r="AI200" s="868"/>
      <c r="AJ200" s="868"/>
      <c r="AK200" s="866"/>
      <c r="AL200" s="866"/>
      <c r="AM200" s="866"/>
      <c r="AN200" s="866"/>
      <c r="AO200" s="866"/>
      <c r="AP200" s="866"/>
      <c r="AQ200" s="866"/>
      <c r="AR200" s="866"/>
      <c r="AS200" s="866"/>
      <c r="AT200" s="866"/>
      <c r="AU200" s="866"/>
      <c r="AV200" s="866"/>
      <c r="AW200" s="866"/>
      <c r="AX200" s="866"/>
      <c r="AY200" s="866"/>
      <c r="AZ200" s="866"/>
      <c r="BA200" s="866"/>
      <c r="BB200" s="866"/>
      <c r="BC200" s="866"/>
      <c r="BD200" s="866"/>
      <c r="BE200" s="866"/>
    </row>
    <row r="201" spans="1:57" ht="16.5" customHeight="1" x14ac:dyDescent="0.25">
      <c r="A201" s="1093"/>
      <c r="B201" s="1093"/>
      <c r="C201" s="438"/>
      <c r="D201" s="438"/>
      <c r="E201" s="438"/>
      <c r="F201" s="438"/>
      <c r="G201" s="438"/>
      <c r="H201" s="438"/>
      <c r="I201" s="438"/>
      <c r="J201" s="438"/>
      <c r="K201" s="439"/>
      <c r="L201" s="438"/>
      <c r="M201" s="438"/>
      <c r="N201" s="320"/>
      <c r="O201" s="23"/>
      <c r="P201" s="23"/>
    </row>
    <row r="202" spans="1:57" s="15" customFormat="1" x14ac:dyDescent="0.25">
      <c r="A202" s="1396"/>
      <c r="B202" s="1396"/>
      <c r="C202" s="1396"/>
      <c r="D202" s="1396"/>
      <c r="E202" s="1396"/>
      <c r="F202" s="1396"/>
      <c r="G202" s="1396"/>
      <c r="H202" s="1396"/>
      <c r="I202" s="1396"/>
      <c r="J202" s="1396"/>
      <c r="K202" s="328"/>
      <c r="L202" s="328"/>
      <c r="M202" s="1397"/>
      <c r="N202" s="1397"/>
      <c r="O202" s="1399"/>
      <c r="P202" s="1399"/>
      <c r="Q202" s="328"/>
      <c r="R202" s="639"/>
      <c r="S202" s="639"/>
      <c r="T202" s="328"/>
      <c r="U202" s="328"/>
      <c r="V202" s="328"/>
      <c r="W202" s="328"/>
      <c r="X202" s="328"/>
      <c r="Y202" s="328"/>
      <c r="Z202" s="328"/>
      <c r="AA202" s="328"/>
      <c r="AB202" s="328"/>
      <c r="AC202" s="328"/>
      <c r="AD202" s="328"/>
      <c r="AE202" s="512"/>
      <c r="AF202" s="512"/>
      <c r="AG202" s="328"/>
      <c r="AH202" s="328"/>
      <c r="AI202" s="512"/>
      <c r="AJ202" s="512"/>
      <c r="AK202" s="328"/>
      <c r="AL202" s="328"/>
      <c r="AM202" s="328"/>
      <c r="AN202" s="328"/>
      <c r="AO202" s="328"/>
      <c r="AP202" s="328"/>
      <c r="AQ202" s="328"/>
      <c r="AR202" s="328"/>
      <c r="AS202" s="328"/>
      <c r="AT202" s="328"/>
      <c r="AU202" s="328"/>
      <c r="AV202" s="328"/>
      <c r="AW202" s="328"/>
      <c r="AX202" s="328"/>
      <c r="AY202" s="328"/>
      <c r="AZ202" s="328"/>
      <c r="BA202" s="328"/>
      <c r="BB202" s="328"/>
      <c r="BC202" s="328"/>
      <c r="BD202" s="328"/>
      <c r="BE202" s="328"/>
    </row>
    <row r="203" spans="1:57" ht="15" hidden="1" thickTop="1" thickBot="1" x14ac:dyDescent="0.3">
      <c r="A203" s="319" t="s">
        <v>379</v>
      </c>
      <c r="B203" s="319"/>
      <c r="C203" s="320"/>
      <c r="D203" s="320"/>
      <c r="E203" s="320"/>
      <c r="F203" s="320"/>
      <c r="G203" s="320"/>
      <c r="H203" s="320"/>
      <c r="I203" s="320"/>
      <c r="J203" s="320"/>
      <c r="K203" s="320"/>
      <c r="L203" s="321" t="s">
        <v>60</v>
      </c>
      <c r="M203" s="320"/>
      <c r="N203" s="311" t="s">
        <v>275</v>
      </c>
      <c r="O203" s="23"/>
      <c r="P203" s="23"/>
    </row>
    <row r="204" spans="1:57" ht="15" hidden="1" thickTop="1" thickBot="1" x14ac:dyDescent="0.3">
      <c r="A204" s="319" t="s">
        <v>211</v>
      </c>
      <c r="B204" s="319"/>
      <c r="C204" s="319"/>
      <c r="D204" s="319"/>
      <c r="E204" s="320"/>
      <c r="F204" s="320"/>
      <c r="G204" s="320"/>
      <c r="H204" s="320"/>
      <c r="I204" s="320"/>
      <c r="J204" s="320"/>
      <c r="K204" s="309"/>
      <c r="L204" s="320"/>
      <c r="M204" s="321" t="s">
        <v>59</v>
      </c>
      <c r="N204" s="320"/>
      <c r="O204" s="19"/>
      <c r="P204" s="19"/>
    </row>
    <row r="205" spans="1:57" hidden="1" x14ac:dyDescent="0.25">
      <c r="A205" s="322" t="s">
        <v>446</v>
      </c>
      <c r="B205" s="322"/>
      <c r="C205" s="323"/>
      <c r="D205" s="323"/>
      <c r="E205" s="323"/>
      <c r="F205" s="323"/>
      <c r="G205" s="323"/>
      <c r="H205" s="323"/>
      <c r="I205" s="323"/>
      <c r="J205" s="323"/>
      <c r="K205" s="323"/>
      <c r="L205" s="322"/>
      <c r="M205" s="320"/>
      <c r="N205" s="320"/>
      <c r="O205" s="23"/>
      <c r="P205" s="23"/>
    </row>
    <row r="206" spans="1:57" hidden="1" x14ac:dyDescent="0.25">
      <c r="A206" s="666"/>
      <c r="B206" s="666"/>
      <c r="C206" s="666"/>
      <c r="D206" s="666"/>
      <c r="E206" s="666"/>
      <c r="F206" s="666"/>
      <c r="G206" s="666"/>
      <c r="H206" s="666"/>
      <c r="I206" s="666"/>
      <c r="J206" s="666"/>
      <c r="K206" s="666"/>
      <c r="L206" s="666"/>
      <c r="M206" s="668" t="s">
        <v>198</v>
      </c>
      <c r="N206" s="666"/>
      <c r="O206" s="23"/>
      <c r="P206" s="23"/>
    </row>
    <row r="207" spans="1:57" hidden="1" x14ac:dyDescent="0.25">
      <c r="A207" s="666"/>
      <c r="B207" s="666"/>
      <c r="C207" s="666"/>
      <c r="D207" s="666"/>
      <c r="E207" s="666"/>
      <c r="F207" s="666"/>
      <c r="G207" s="666"/>
      <c r="H207" s="666"/>
      <c r="I207" s="666"/>
      <c r="J207" s="666"/>
      <c r="K207" s="666"/>
      <c r="L207" s="666"/>
      <c r="M207" s="669">
        <v>0.69499999999999995</v>
      </c>
      <c r="N207" s="666"/>
      <c r="O207" s="23"/>
      <c r="P207" s="23"/>
    </row>
    <row r="208" spans="1:57" hidden="1" x14ac:dyDescent="0.25">
      <c r="A208" s="666"/>
      <c r="B208" s="666"/>
      <c r="C208" s="666"/>
      <c r="D208" s="666"/>
      <c r="E208" s="666"/>
      <c r="F208" s="666"/>
      <c r="G208" s="666"/>
      <c r="H208" s="666"/>
      <c r="I208" s="666"/>
      <c r="J208" s="666"/>
      <c r="K208" s="666"/>
      <c r="L208" s="666"/>
      <c r="M208" s="669">
        <v>0.34</v>
      </c>
      <c r="N208" s="666"/>
      <c r="O208" s="23"/>
      <c r="P208" s="23"/>
    </row>
    <row r="209" spans="1:16" hidden="1" x14ac:dyDescent="0.25">
      <c r="A209" s="666"/>
      <c r="B209" s="666"/>
      <c r="C209" s="666"/>
      <c r="D209" s="666"/>
      <c r="E209" s="666"/>
      <c r="F209" s="666"/>
      <c r="G209" s="666"/>
      <c r="H209" s="666"/>
      <c r="I209" s="666"/>
      <c r="J209" s="666"/>
      <c r="K209" s="666"/>
      <c r="L209" s="666"/>
      <c r="M209" s="669">
        <v>0.41</v>
      </c>
      <c r="N209" s="666"/>
      <c r="O209" s="23"/>
      <c r="P209" s="23"/>
    </row>
    <row r="210" spans="1:16" ht="15" hidden="1" thickTop="1" thickBot="1" x14ac:dyDescent="0.3">
      <c r="A210" s="323"/>
      <c r="B210" s="323"/>
      <c r="C210" s="323"/>
      <c r="D210" s="323"/>
      <c r="E210" s="323"/>
      <c r="F210" s="323"/>
      <c r="G210" s="323"/>
      <c r="H210" s="323"/>
      <c r="I210" s="323"/>
      <c r="J210" s="323"/>
      <c r="K210" s="323"/>
      <c r="L210" s="467" t="s">
        <v>203</v>
      </c>
      <c r="M210" s="468"/>
      <c r="N210" s="320"/>
      <c r="O210" s="23"/>
      <c r="P210" s="23"/>
    </row>
    <row r="211" spans="1:16" hidden="1" x14ac:dyDescent="0.25">
      <c r="A211" s="666"/>
      <c r="B211" s="666"/>
      <c r="C211" s="666"/>
      <c r="D211" s="666"/>
      <c r="E211" s="666"/>
      <c r="F211" s="666"/>
      <c r="G211" s="666"/>
      <c r="H211" s="666"/>
      <c r="I211" s="666"/>
      <c r="J211" s="666"/>
      <c r="K211" s="666"/>
      <c r="L211" s="666"/>
      <c r="M211" s="668" t="s">
        <v>205</v>
      </c>
      <c r="N211" s="666"/>
      <c r="O211" s="23"/>
      <c r="P211" s="23"/>
    </row>
    <row r="212" spans="1:16" hidden="1" x14ac:dyDescent="0.25">
      <c r="A212" s="666"/>
      <c r="B212" s="666"/>
      <c r="C212" s="666"/>
      <c r="D212" s="666"/>
      <c r="E212" s="666"/>
      <c r="F212" s="666"/>
      <c r="G212" s="666"/>
      <c r="H212" s="666"/>
      <c r="I212" s="666"/>
      <c r="J212" s="666"/>
      <c r="K212" s="666"/>
      <c r="L212" s="666"/>
      <c r="M212" s="669">
        <v>0.26</v>
      </c>
      <c r="N212" s="666"/>
      <c r="O212" s="23"/>
      <c r="P212" s="23"/>
    </row>
    <row r="213" spans="1:16" hidden="1" x14ac:dyDescent="0.25">
      <c r="A213" s="666"/>
      <c r="B213" s="666"/>
      <c r="C213" s="666"/>
      <c r="D213" s="666"/>
      <c r="E213" s="666"/>
      <c r="F213" s="666"/>
      <c r="G213" s="666"/>
      <c r="H213" s="666"/>
      <c r="I213" s="666"/>
      <c r="J213" s="666"/>
      <c r="K213" s="666"/>
      <c r="L213" s="666"/>
      <c r="M213" s="669">
        <v>0.34</v>
      </c>
      <c r="N213" s="666"/>
      <c r="O213" s="23"/>
      <c r="P213" s="23"/>
    </row>
    <row r="214" spans="1:16" hidden="1" x14ac:dyDescent="0.25">
      <c r="A214" s="666"/>
      <c r="B214" s="666"/>
      <c r="C214" s="666"/>
      <c r="D214" s="666"/>
      <c r="E214" s="666"/>
      <c r="F214" s="666"/>
      <c r="G214" s="666"/>
      <c r="H214" s="666"/>
      <c r="I214" s="666"/>
      <c r="J214" s="666"/>
      <c r="K214" s="666"/>
      <c r="L214" s="666"/>
      <c r="M214" s="669">
        <v>0.41</v>
      </c>
      <c r="N214" s="666"/>
      <c r="O214" s="23"/>
      <c r="P214" s="23"/>
    </row>
    <row r="215" spans="1:16" ht="20.25" hidden="1" customHeight="1" thickTop="1" thickBot="1" x14ac:dyDescent="0.3">
      <c r="A215" s="323"/>
      <c r="B215" s="323"/>
      <c r="C215" s="323"/>
      <c r="D215" s="323"/>
      <c r="E215" s="323"/>
      <c r="F215" s="323"/>
      <c r="G215" s="323"/>
      <c r="H215" s="323"/>
      <c r="I215" s="323"/>
      <c r="J215" s="323"/>
      <c r="K215" s="323"/>
      <c r="L215" s="467" t="s">
        <v>204</v>
      </c>
      <c r="M215" s="324"/>
      <c r="N215" s="320"/>
      <c r="O215" s="23"/>
      <c r="P215" s="23"/>
    </row>
    <row r="216" spans="1:16" hidden="1" x14ac:dyDescent="0.25">
      <c r="A216" s="319" t="s">
        <v>207</v>
      </c>
      <c r="B216" s="319"/>
      <c r="C216" s="320"/>
      <c r="D216" s="320"/>
      <c r="E216" s="320"/>
      <c r="F216" s="320"/>
      <c r="G216" s="320"/>
      <c r="H216" s="320"/>
      <c r="I216" s="320"/>
      <c r="J216" s="320"/>
      <c r="K216" s="320"/>
      <c r="L216" s="320"/>
      <c r="M216" s="320"/>
      <c r="N216" s="320"/>
      <c r="O216" s="23"/>
      <c r="P216" s="23"/>
    </row>
    <row r="217" spans="1:16" hidden="1" x14ac:dyDescent="0.25">
      <c r="A217" s="319" t="s">
        <v>208</v>
      </c>
      <c r="B217" s="319"/>
      <c r="C217" s="320"/>
      <c r="D217" s="320"/>
      <c r="E217" s="320"/>
      <c r="F217" s="320"/>
      <c r="G217" s="320"/>
      <c r="H217" s="320"/>
      <c r="I217" s="320"/>
      <c r="J217" s="320"/>
      <c r="K217" s="320"/>
      <c r="L217" s="320"/>
      <c r="M217" s="320"/>
      <c r="N217" s="320"/>
      <c r="O217" s="23"/>
      <c r="P217" s="23"/>
    </row>
    <row r="218" spans="1:16" hidden="1" x14ac:dyDescent="0.25">
      <c r="A218" s="319" t="s">
        <v>209</v>
      </c>
      <c r="B218" s="319"/>
      <c r="C218" s="320"/>
      <c r="D218" s="320"/>
      <c r="E218" s="320"/>
      <c r="F218" s="320"/>
      <c r="G218" s="320"/>
      <c r="H218" s="320"/>
      <c r="I218" s="320"/>
      <c r="J218" s="320"/>
      <c r="K218" s="320"/>
      <c r="L218" s="320"/>
      <c r="M218" s="320"/>
      <c r="N218" s="320"/>
      <c r="O218" s="23"/>
      <c r="P218" s="23"/>
    </row>
    <row r="219" spans="1:16" hidden="1" x14ac:dyDescent="0.25">
      <c r="A219" s="319" t="s">
        <v>210</v>
      </c>
      <c r="B219" s="319"/>
      <c r="C219" s="320"/>
      <c r="D219" s="320"/>
      <c r="E219" s="320"/>
      <c r="F219" s="320"/>
      <c r="G219" s="320"/>
      <c r="H219" s="320"/>
      <c r="I219" s="320"/>
      <c r="J219" s="320"/>
      <c r="K219" s="320"/>
      <c r="L219" s="320"/>
      <c r="M219" s="320"/>
      <c r="N219" s="320"/>
      <c r="O219" s="23"/>
      <c r="P219" s="23"/>
    </row>
    <row r="220" spans="1:16" ht="5.25" hidden="1" customHeight="1" x14ac:dyDescent="0.25">
      <c r="A220" s="319"/>
      <c r="B220" s="319"/>
      <c r="C220" s="320"/>
      <c r="D220" s="320"/>
      <c r="E220" s="320"/>
      <c r="F220" s="320"/>
      <c r="G220" s="320"/>
      <c r="H220" s="320"/>
      <c r="I220" s="320"/>
      <c r="J220" s="320"/>
      <c r="K220" s="320"/>
      <c r="L220" s="320"/>
      <c r="M220" s="320"/>
      <c r="N220" s="320"/>
      <c r="O220" s="23"/>
      <c r="P220" s="23"/>
    </row>
    <row r="221" spans="1:16" hidden="1" x14ac:dyDescent="0.25">
      <c r="A221" s="319" t="s">
        <v>225</v>
      </c>
      <c r="B221" s="319"/>
      <c r="C221" s="320"/>
      <c r="D221" s="320"/>
      <c r="E221" s="320"/>
      <c r="F221" s="320"/>
      <c r="G221" s="320"/>
      <c r="H221" s="320"/>
      <c r="I221" s="320"/>
      <c r="J221" s="320"/>
      <c r="K221" s="320"/>
      <c r="L221" s="320"/>
      <c r="M221" s="320"/>
      <c r="N221" s="320"/>
      <c r="O221" s="23"/>
      <c r="P221" s="23"/>
    </row>
    <row r="222" spans="1:16" hidden="1" x14ac:dyDescent="0.25">
      <c r="A222" s="319" t="s">
        <v>176</v>
      </c>
      <c r="B222" s="319"/>
      <c r="C222" s="320"/>
      <c r="D222" s="320"/>
      <c r="E222" s="320"/>
      <c r="F222" s="320"/>
      <c r="G222" s="320"/>
      <c r="H222" s="320"/>
      <c r="I222" s="320"/>
      <c r="J222" s="320"/>
      <c r="K222" s="320"/>
      <c r="L222" s="320"/>
      <c r="M222" s="320"/>
      <c r="N222" s="320"/>
      <c r="O222" s="23"/>
      <c r="P222" s="23"/>
    </row>
    <row r="223" spans="1:16" hidden="1" x14ac:dyDescent="0.25">
      <c r="A223" s="319" t="s">
        <v>214</v>
      </c>
      <c r="B223" s="319"/>
      <c r="C223" s="320"/>
      <c r="D223" s="320"/>
      <c r="E223" s="320"/>
      <c r="F223" s="320"/>
      <c r="G223" s="320"/>
      <c r="H223" s="320"/>
      <c r="I223" s="320"/>
      <c r="J223" s="320"/>
      <c r="K223" s="320"/>
      <c r="L223" s="320"/>
      <c r="M223" s="320"/>
      <c r="N223" s="320"/>
      <c r="O223" s="23"/>
      <c r="P223" s="23"/>
    </row>
    <row r="224" spans="1:16" hidden="1" x14ac:dyDescent="0.25">
      <c r="A224" s="319" t="s">
        <v>177</v>
      </c>
      <c r="B224" s="319"/>
      <c r="C224" s="320"/>
      <c r="D224" s="320"/>
      <c r="E224" s="320"/>
      <c r="F224" s="320"/>
      <c r="G224" s="320"/>
      <c r="H224" s="320"/>
      <c r="I224" s="320"/>
      <c r="J224" s="320"/>
      <c r="K224" s="320"/>
      <c r="L224" s="320"/>
      <c r="M224" s="320"/>
      <c r="N224" s="320"/>
      <c r="O224" s="23"/>
      <c r="P224" s="23"/>
    </row>
    <row r="225" spans="1:57" hidden="1" x14ac:dyDescent="0.25">
      <c r="A225" s="319" t="s">
        <v>215</v>
      </c>
      <c r="B225" s="319"/>
      <c r="C225" s="320"/>
      <c r="D225" s="320"/>
      <c r="E225" s="320"/>
      <c r="F225" s="320"/>
      <c r="G225" s="320"/>
      <c r="H225" s="320"/>
      <c r="I225" s="320"/>
      <c r="J225" s="320"/>
      <c r="K225" s="320"/>
      <c r="L225" s="320"/>
      <c r="M225" s="320"/>
      <c r="N225" s="320"/>
      <c r="O225" s="23"/>
      <c r="P225" s="23"/>
    </row>
    <row r="226" spans="1:57" hidden="1" x14ac:dyDescent="0.25">
      <c r="A226" s="319" t="s">
        <v>189</v>
      </c>
      <c r="B226" s="319"/>
      <c r="C226" s="320"/>
      <c r="D226" s="320"/>
      <c r="E226" s="320"/>
      <c r="F226" s="320"/>
      <c r="G226" s="320"/>
      <c r="H226" s="320"/>
      <c r="I226" s="320"/>
      <c r="J226" s="320"/>
      <c r="K226" s="320"/>
      <c r="L226" s="320"/>
      <c r="M226" s="320"/>
      <c r="N226" s="320"/>
      <c r="O226" s="23"/>
      <c r="P226" s="23"/>
    </row>
    <row r="227" spans="1:57" hidden="1" x14ac:dyDescent="0.25">
      <c r="A227" s="319" t="s">
        <v>216</v>
      </c>
      <c r="B227" s="319"/>
      <c r="C227" s="320"/>
      <c r="D227" s="320"/>
      <c r="E227" s="320"/>
      <c r="F227" s="320"/>
      <c r="G227" s="320"/>
      <c r="H227" s="320"/>
      <c r="I227" s="320"/>
      <c r="J227" s="320"/>
      <c r="K227" s="320"/>
      <c r="L227" s="320"/>
      <c r="M227" s="320"/>
      <c r="N227" s="320"/>
      <c r="O227" s="23"/>
      <c r="P227" s="23"/>
    </row>
    <row r="228" spans="1:57" hidden="1" x14ac:dyDescent="0.25">
      <c r="A228" s="319" t="s">
        <v>217</v>
      </c>
      <c r="B228" s="319"/>
      <c r="C228" s="320"/>
      <c r="D228" s="320"/>
      <c r="E228" s="320"/>
      <c r="F228" s="320"/>
      <c r="G228" s="320"/>
      <c r="H228" s="320"/>
      <c r="I228" s="320"/>
      <c r="J228" s="320"/>
      <c r="K228" s="320"/>
      <c r="L228" s="320"/>
      <c r="M228" s="320"/>
      <c r="N228" s="320"/>
      <c r="O228" s="23"/>
      <c r="P228" s="23"/>
    </row>
    <row r="229" spans="1:57" ht="14.1" hidden="1" customHeight="1" x14ac:dyDescent="0.25">
      <c r="A229" s="436"/>
      <c r="B229" s="436"/>
      <c r="C229" s="627"/>
      <c r="D229" s="627"/>
      <c r="E229" s="627"/>
      <c r="F229" s="627"/>
      <c r="G229" s="627"/>
      <c r="H229" s="627"/>
      <c r="I229" s="627"/>
      <c r="J229" s="627"/>
      <c r="K229" s="627"/>
      <c r="L229" s="629"/>
      <c r="M229" s="629"/>
      <c r="N229" s="629"/>
      <c r="O229" s="189"/>
      <c r="P229" s="189"/>
    </row>
    <row r="230" spans="1:57" ht="26.1" customHeight="1" thickBot="1" x14ac:dyDescent="0.3">
      <c r="A230" s="1235" t="s">
        <v>600</v>
      </c>
      <c r="B230" s="1235"/>
      <c r="C230" s="627"/>
      <c r="D230" s="627"/>
      <c r="E230" s="627"/>
      <c r="F230" s="627"/>
      <c r="G230" s="627"/>
      <c r="H230" s="627"/>
      <c r="I230" s="627"/>
      <c r="J230" s="627"/>
      <c r="K230" s="627"/>
      <c r="L230" s="629"/>
      <c r="M230" s="629"/>
      <c r="N230" s="629"/>
      <c r="O230" s="189"/>
      <c r="P230" s="189"/>
    </row>
    <row r="231" spans="1:57" ht="15" thickTop="1" thickBot="1" x14ac:dyDescent="0.3">
      <c r="A231" s="1226" t="s">
        <v>564</v>
      </c>
      <c r="B231" s="1226"/>
      <c r="C231" s="319"/>
      <c r="D231" s="319"/>
      <c r="E231" s="320"/>
      <c r="F231" s="320"/>
      <c r="G231" s="320"/>
      <c r="H231" s="320"/>
      <c r="I231" s="320"/>
      <c r="J231" s="320"/>
      <c r="K231" s="320"/>
      <c r="L231" s="321" t="s">
        <v>59</v>
      </c>
      <c r="M231" s="320"/>
      <c r="N231" s="1094" t="s">
        <v>444</v>
      </c>
      <c r="O231" s="190"/>
      <c r="P231" s="190"/>
    </row>
    <row r="232" spans="1:57" ht="15" thickTop="1" thickBot="1" x14ac:dyDescent="0.3">
      <c r="A232" s="1226" t="s">
        <v>318</v>
      </c>
      <c r="B232" s="1226"/>
      <c r="C232" s="319"/>
      <c r="D232" s="319"/>
      <c r="E232" s="320"/>
      <c r="F232" s="320"/>
      <c r="G232" s="320"/>
      <c r="H232" s="320"/>
      <c r="I232" s="320"/>
      <c r="J232" s="320"/>
      <c r="K232" s="320"/>
      <c r="L232" s="320"/>
      <c r="M232" s="449"/>
      <c r="N232" s="320"/>
      <c r="O232" s="23"/>
      <c r="P232" s="23"/>
    </row>
    <row r="233" spans="1:57" s="15" customFormat="1" ht="15" thickTop="1" thickBot="1" x14ac:dyDescent="0.3">
      <c r="A233" s="453"/>
      <c r="B233" s="453"/>
      <c r="C233" s="453"/>
      <c r="D233" s="453"/>
      <c r="E233" s="328"/>
      <c r="F233" s="328"/>
      <c r="G233" s="328"/>
      <c r="H233" s="328"/>
      <c r="I233" s="328"/>
      <c r="J233" s="328"/>
      <c r="K233" s="328"/>
      <c r="L233" s="328"/>
      <c r="M233" s="328"/>
      <c r="N233" s="1223"/>
      <c r="O233" s="1398"/>
      <c r="P233" s="1398"/>
      <c r="Q233" s="328"/>
      <c r="R233" s="639"/>
      <c r="S233" s="639"/>
      <c r="T233" s="328"/>
      <c r="U233" s="328"/>
      <c r="V233" s="328"/>
      <c r="W233" s="328"/>
      <c r="X233" s="328"/>
      <c r="Y233" s="328"/>
      <c r="Z233" s="328"/>
      <c r="AA233" s="328"/>
      <c r="AB233" s="328"/>
      <c r="AC233" s="328"/>
      <c r="AD233" s="328"/>
      <c r="AE233" s="512"/>
      <c r="AF233" s="512"/>
      <c r="AG233" s="328"/>
      <c r="AH233" s="328"/>
      <c r="AI233" s="512"/>
      <c r="AJ233" s="512"/>
      <c r="AK233" s="328"/>
      <c r="AL233" s="328"/>
      <c r="AM233" s="328"/>
      <c r="AN233" s="328"/>
      <c r="AO233" s="328"/>
      <c r="AP233" s="328"/>
      <c r="AQ233" s="328"/>
      <c r="AR233" s="328"/>
      <c r="AS233" s="328"/>
      <c r="AT233" s="328"/>
      <c r="AU233" s="328"/>
      <c r="AV233" s="328"/>
      <c r="AW233" s="328"/>
      <c r="AX233" s="328"/>
      <c r="AY233" s="328"/>
      <c r="AZ233" s="328"/>
      <c r="BA233" s="328"/>
      <c r="BB233" s="328"/>
      <c r="BC233" s="328"/>
      <c r="BD233" s="328"/>
      <c r="BE233" s="328"/>
    </row>
    <row r="234" spans="1:57" ht="16.5" customHeight="1" thickTop="1" thickBot="1" x14ac:dyDescent="0.3">
      <c r="A234" s="1093" t="s">
        <v>381</v>
      </c>
      <c r="B234" s="1093"/>
      <c r="C234" s="438"/>
      <c r="D234" s="438"/>
      <c r="E234" s="438"/>
      <c r="F234" s="438"/>
      <c r="G234" s="438"/>
      <c r="H234" s="321" t="s">
        <v>60</v>
      </c>
      <c r="I234" s="438"/>
      <c r="J234" s="438"/>
      <c r="K234" s="438"/>
      <c r="L234" s="438"/>
      <c r="M234" s="438"/>
      <c r="N234" s="1094" t="s">
        <v>114</v>
      </c>
      <c r="O234" s="192"/>
      <c r="P234" s="192"/>
    </row>
    <row r="235" spans="1:57" ht="15" thickTop="1" thickBot="1" x14ac:dyDescent="0.3">
      <c r="A235" s="1226" t="s">
        <v>319</v>
      </c>
      <c r="B235" s="1226"/>
      <c r="C235" s="319"/>
      <c r="D235" s="319"/>
      <c r="E235" s="320"/>
      <c r="F235" s="320"/>
      <c r="G235" s="320"/>
      <c r="H235" s="320"/>
      <c r="I235" s="320"/>
      <c r="J235" s="320"/>
      <c r="K235" s="320"/>
      <c r="L235" s="320"/>
      <c r="M235" s="320"/>
      <c r="N235" s="320"/>
      <c r="O235" s="23"/>
      <c r="P235" s="23"/>
    </row>
    <row r="236" spans="1:57" ht="15" thickTop="1" thickBot="1" x14ac:dyDescent="0.3">
      <c r="A236" s="319"/>
      <c r="B236" s="319"/>
      <c r="C236" s="319"/>
      <c r="D236" s="319"/>
      <c r="E236" s="320"/>
      <c r="F236" s="320"/>
      <c r="G236" s="320"/>
      <c r="H236" s="320"/>
      <c r="I236" s="320"/>
      <c r="J236" s="320"/>
      <c r="K236" s="320"/>
      <c r="L236" s="320"/>
      <c r="M236" s="320"/>
      <c r="N236" s="452"/>
      <c r="O236" s="191"/>
      <c r="P236" s="191"/>
    </row>
    <row r="237" spans="1:57" ht="15" thickTop="1" thickBot="1" x14ac:dyDescent="0.3">
      <c r="A237" s="319"/>
      <c r="B237" s="319"/>
      <c r="C237" s="319"/>
      <c r="D237" s="319"/>
      <c r="E237" s="320"/>
      <c r="F237" s="320"/>
      <c r="G237" s="320"/>
      <c r="H237" s="320"/>
      <c r="I237" s="320"/>
      <c r="J237" s="320"/>
      <c r="K237" s="320"/>
      <c r="L237" s="320"/>
      <c r="M237" s="320"/>
      <c r="N237" s="452"/>
      <c r="O237" s="191"/>
      <c r="P237" s="191"/>
    </row>
    <row r="238" spans="1:57" ht="15" thickTop="1" thickBot="1" x14ac:dyDescent="0.3">
      <c r="A238" s="319"/>
      <c r="B238" s="319"/>
      <c r="C238" s="319"/>
      <c r="D238" s="319"/>
      <c r="E238" s="320"/>
      <c r="F238" s="320"/>
      <c r="G238" s="320"/>
      <c r="H238" s="320"/>
      <c r="I238" s="320"/>
      <c r="J238" s="320"/>
      <c r="K238" s="320"/>
      <c r="L238" s="320"/>
      <c r="M238" s="320"/>
      <c r="N238" s="452"/>
      <c r="O238" s="191"/>
      <c r="P238" s="191"/>
    </row>
    <row r="239" spans="1:57" s="867" customFormat="1" ht="14.4" thickTop="1" x14ac:dyDescent="0.25">
      <c r="A239" s="450"/>
      <c r="B239" s="450"/>
      <c r="C239" s="450"/>
      <c r="D239" s="450"/>
      <c r="E239" s="325"/>
      <c r="F239" s="325"/>
      <c r="G239" s="325"/>
      <c r="H239" s="325"/>
      <c r="I239" s="325"/>
      <c r="J239" s="325"/>
      <c r="K239" s="325"/>
      <c r="L239" s="325"/>
      <c r="M239" s="325"/>
      <c r="N239" s="451"/>
      <c r="O239" s="191"/>
      <c r="P239" s="191"/>
      <c r="Q239" s="866"/>
      <c r="R239" s="642"/>
      <c r="S239" s="642"/>
      <c r="T239" s="866"/>
      <c r="U239" s="866"/>
      <c r="V239" s="866"/>
      <c r="W239" s="866"/>
      <c r="X239" s="866"/>
      <c r="Y239" s="866"/>
      <c r="Z239" s="866"/>
      <c r="AA239" s="866"/>
      <c r="AB239" s="866"/>
      <c r="AC239" s="866"/>
      <c r="AD239" s="866"/>
      <c r="AE239" s="868"/>
      <c r="AF239" s="868"/>
      <c r="AG239" s="866"/>
      <c r="AH239" s="866"/>
      <c r="AI239" s="868"/>
      <c r="AJ239" s="868"/>
      <c r="AK239" s="866"/>
      <c r="AL239" s="866"/>
      <c r="AM239" s="866"/>
      <c r="AN239" s="866"/>
      <c r="AO239" s="866"/>
      <c r="AP239" s="866"/>
      <c r="AQ239" s="866"/>
      <c r="AR239" s="866"/>
      <c r="AS239" s="866"/>
      <c r="AT239" s="866"/>
      <c r="AU239" s="866"/>
      <c r="AV239" s="866"/>
      <c r="AW239" s="866"/>
      <c r="AX239" s="866"/>
      <c r="AY239" s="866"/>
      <c r="AZ239" s="866"/>
      <c r="BA239" s="866"/>
      <c r="BB239" s="866"/>
      <c r="BC239" s="866"/>
      <c r="BD239" s="866"/>
      <c r="BE239" s="866"/>
    </row>
    <row r="240" spans="1:57" ht="24.9" customHeight="1" thickBot="1" x14ac:dyDescent="0.3">
      <c r="A240" s="1235" t="s">
        <v>380</v>
      </c>
      <c r="B240" s="1235"/>
      <c r="C240" s="453"/>
      <c r="D240" s="453"/>
      <c r="E240" s="328"/>
      <c r="F240" s="328"/>
      <c r="G240" s="328"/>
      <c r="H240" s="328"/>
      <c r="I240" s="328"/>
      <c r="J240" s="328"/>
      <c r="K240" s="328"/>
      <c r="L240" s="328"/>
      <c r="M240" s="328"/>
      <c r="N240" s="1223"/>
      <c r="O240" s="191"/>
      <c r="P240" s="191"/>
    </row>
    <row r="241" spans="1:57" ht="15" thickTop="1" thickBot="1" x14ac:dyDescent="0.3">
      <c r="A241" s="1226" t="s">
        <v>384</v>
      </c>
      <c r="B241" s="1226"/>
      <c r="C241" s="319"/>
      <c r="D241" s="319"/>
      <c r="E241" s="320"/>
      <c r="F241" s="320"/>
      <c r="G241" s="320"/>
      <c r="H241" s="320"/>
      <c r="I241" s="320"/>
      <c r="J241" s="320"/>
      <c r="K241" s="309"/>
      <c r="L241" s="321" t="s">
        <v>59</v>
      </c>
      <c r="M241" s="320"/>
      <c r="N241" s="1094" t="s">
        <v>52</v>
      </c>
      <c r="O241" s="23"/>
      <c r="P241" s="23"/>
    </row>
    <row r="242" spans="1:57" ht="15" hidden="1" thickTop="1" thickBot="1" x14ac:dyDescent="0.3">
      <c r="A242" s="665"/>
      <c r="B242" s="665"/>
      <c r="C242" s="665"/>
      <c r="D242" s="665"/>
      <c r="E242" s="666"/>
      <c r="F242" s="666"/>
      <c r="G242" s="666"/>
      <c r="H242" s="666"/>
      <c r="I242" s="666"/>
      <c r="J242" s="666"/>
      <c r="K242" s="667"/>
      <c r="L242" s="666"/>
      <c r="M242" s="668" t="s">
        <v>56</v>
      </c>
      <c r="N242" s="666"/>
      <c r="O242" s="23"/>
      <c r="P242" s="23"/>
    </row>
    <row r="243" spans="1:57" ht="15" hidden="1" thickTop="1" thickBot="1" x14ac:dyDescent="0.3">
      <c r="A243" s="665"/>
      <c r="B243" s="665"/>
      <c r="C243" s="665"/>
      <c r="D243" s="665"/>
      <c r="E243" s="666"/>
      <c r="F243" s="666"/>
      <c r="G243" s="666"/>
      <c r="H243" s="666"/>
      <c r="I243" s="666"/>
      <c r="J243" s="666"/>
      <c r="K243" s="667"/>
      <c r="L243" s="666"/>
      <c r="M243" s="669">
        <v>0</v>
      </c>
      <c r="N243" s="666"/>
      <c r="O243" s="23"/>
      <c r="P243" s="23"/>
    </row>
    <row r="244" spans="1:57" ht="15" hidden="1" thickTop="1" thickBot="1" x14ac:dyDescent="0.3">
      <c r="A244" s="665"/>
      <c r="B244" s="665"/>
      <c r="C244" s="665"/>
      <c r="D244" s="665"/>
      <c r="E244" s="666"/>
      <c r="F244" s="666"/>
      <c r="G244" s="666"/>
      <c r="H244" s="666"/>
      <c r="I244" s="666"/>
      <c r="J244" s="666"/>
      <c r="K244" s="667"/>
      <c r="L244" s="666"/>
      <c r="M244" s="669">
        <v>0.08</v>
      </c>
      <c r="N244" s="666"/>
      <c r="O244" s="23"/>
      <c r="P244" s="23"/>
    </row>
    <row r="245" spans="1:57" ht="15" hidden="1" thickTop="1" thickBot="1" x14ac:dyDescent="0.3">
      <c r="A245" s="665"/>
      <c r="B245" s="665"/>
      <c r="C245" s="665"/>
      <c r="D245" s="665"/>
      <c r="E245" s="666"/>
      <c r="F245" s="666"/>
      <c r="G245" s="666"/>
      <c r="H245" s="666"/>
      <c r="I245" s="666"/>
      <c r="J245" s="666"/>
      <c r="K245" s="667"/>
      <c r="L245" s="666"/>
      <c r="M245" s="669">
        <v>0.1</v>
      </c>
      <c r="N245" s="666"/>
      <c r="O245" s="23"/>
      <c r="P245" s="23"/>
    </row>
    <row r="246" spans="1:57" ht="15" hidden="1" thickTop="1" thickBot="1" x14ac:dyDescent="0.3">
      <c r="A246" s="665"/>
      <c r="B246" s="665"/>
      <c r="C246" s="665"/>
      <c r="D246" s="665"/>
      <c r="E246" s="666"/>
      <c r="F246" s="666"/>
      <c r="G246" s="666"/>
      <c r="H246" s="666"/>
      <c r="I246" s="666"/>
      <c r="J246" s="666"/>
      <c r="K246" s="667"/>
      <c r="L246" s="666"/>
      <c r="M246" s="669">
        <v>0.15</v>
      </c>
      <c r="N246" s="666"/>
      <c r="O246" s="23"/>
      <c r="P246" s="23"/>
    </row>
    <row r="247" spans="1:57" ht="15" hidden="1" thickTop="1" thickBot="1" x14ac:dyDescent="0.3">
      <c r="A247" s="665"/>
      <c r="B247" s="665"/>
      <c r="C247" s="665"/>
      <c r="D247" s="665"/>
      <c r="E247" s="666"/>
      <c r="F247" s="666"/>
      <c r="G247" s="666"/>
      <c r="H247" s="666"/>
      <c r="I247" s="666"/>
      <c r="J247" s="666"/>
      <c r="K247" s="667"/>
      <c r="L247" s="666"/>
      <c r="M247" s="669">
        <v>0.2</v>
      </c>
      <c r="N247" s="666"/>
      <c r="O247" s="23"/>
      <c r="P247" s="23"/>
    </row>
    <row r="248" spans="1:57" ht="15" hidden="1" thickTop="1" thickBot="1" x14ac:dyDescent="0.3">
      <c r="A248" s="665"/>
      <c r="B248" s="665"/>
      <c r="C248" s="665"/>
      <c r="D248" s="665"/>
      <c r="E248" s="666"/>
      <c r="F248" s="666"/>
      <c r="G248" s="666"/>
      <c r="H248" s="666"/>
      <c r="I248" s="666"/>
      <c r="J248" s="666"/>
      <c r="K248" s="667"/>
      <c r="L248" s="666"/>
      <c r="M248" s="669">
        <v>0.25</v>
      </c>
      <c r="N248" s="666"/>
      <c r="O248" s="23"/>
      <c r="P248" s="23"/>
    </row>
    <row r="249" spans="1:57" ht="15" hidden="1" thickTop="1" thickBot="1" x14ac:dyDescent="0.3">
      <c r="A249" s="665"/>
      <c r="B249" s="665"/>
      <c r="C249" s="665"/>
      <c r="D249" s="665"/>
      <c r="E249" s="666"/>
      <c r="F249" s="666"/>
      <c r="G249" s="666"/>
      <c r="H249" s="666"/>
      <c r="I249" s="666"/>
      <c r="J249" s="666"/>
      <c r="K249" s="667"/>
      <c r="L249" s="666"/>
      <c r="M249" s="669">
        <v>0.26</v>
      </c>
      <c r="N249" s="666"/>
      <c r="O249" s="23"/>
      <c r="P249" s="23"/>
    </row>
    <row r="250" spans="1:57" ht="15" hidden="1" thickTop="1" thickBot="1" x14ac:dyDescent="0.3">
      <c r="A250" s="665"/>
      <c r="B250" s="665"/>
      <c r="C250" s="665"/>
      <c r="D250" s="665"/>
      <c r="E250" s="666"/>
      <c r="F250" s="666"/>
      <c r="G250" s="666"/>
      <c r="H250" s="666"/>
      <c r="I250" s="666"/>
      <c r="J250" s="666"/>
      <c r="K250" s="667"/>
      <c r="L250" s="666"/>
      <c r="M250" s="669">
        <v>0.3</v>
      </c>
      <c r="N250" s="666"/>
      <c r="O250" s="23"/>
      <c r="P250" s="23"/>
    </row>
    <row r="251" spans="1:57" s="867" customFormat="1" ht="15" hidden="1" thickTop="1" thickBot="1" x14ac:dyDescent="0.3">
      <c r="A251" s="665"/>
      <c r="B251" s="665"/>
      <c r="C251" s="665"/>
      <c r="D251" s="665"/>
      <c r="E251" s="666"/>
      <c r="F251" s="666"/>
      <c r="G251" s="666"/>
      <c r="H251" s="666"/>
      <c r="I251" s="666"/>
      <c r="J251" s="666"/>
      <c r="K251" s="667"/>
      <c r="L251" s="666"/>
      <c r="M251" s="669">
        <v>0.33500000000000002</v>
      </c>
      <c r="N251" s="666"/>
      <c r="O251" s="23"/>
      <c r="P251" s="23"/>
      <c r="Q251" s="866"/>
      <c r="R251" s="642"/>
      <c r="S251" s="642"/>
      <c r="T251" s="866"/>
      <c r="U251" s="866"/>
      <c r="V251" s="866"/>
      <c r="W251" s="866"/>
      <c r="X251" s="866"/>
      <c r="Y251" s="866"/>
      <c r="Z251" s="866"/>
      <c r="AA251" s="866"/>
      <c r="AB251" s="866"/>
      <c r="AC251" s="866"/>
      <c r="AD251" s="866"/>
      <c r="AE251" s="868"/>
      <c r="AF251" s="868"/>
      <c r="AG251" s="866"/>
      <c r="AH251" s="866"/>
      <c r="AI251" s="868"/>
      <c r="AJ251" s="868"/>
      <c r="AK251" s="866"/>
      <c r="AL251" s="866"/>
      <c r="AM251" s="866"/>
      <c r="AN251" s="866"/>
      <c r="AO251" s="866"/>
      <c r="AP251" s="866"/>
      <c r="AQ251" s="866"/>
      <c r="AR251" s="866"/>
      <c r="AS251" s="866"/>
      <c r="AT251" s="866"/>
      <c r="AU251" s="866"/>
      <c r="AV251" s="866"/>
      <c r="AW251" s="866"/>
      <c r="AX251" s="866"/>
      <c r="AY251" s="866"/>
      <c r="AZ251" s="866"/>
      <c r="BA251" s="866"/>
      <c r="BB251" s="866"/>
      <c r="BC251" s="866"/>
      <c r="BD251" s="866"/>
      <c r="BE251" s="866"/>
    </row>
    <row r="252" spans="1:57" ht="15" hidden="1" thickTop="1" thickBot="1" x14ac:dyDescent="0.3">
      <c r="A252" s="665"/>
      <c r="B252" s="665"/>
      <c r="C252" s="665"/>
      <c r="D252" s="665"/>
      <c r="E252" s="666"/>
      <c r="F252" s="666"/>
      <c r="G252" s="666"/>
      <c r="H252" s="666"/>
      <c r="I252" s="666"/>
      <c r="J252" s="666"/>
      <c r="K252" s="667"/>
      <c r="L252" s="666"/>
      <c r="M252" s="669">
        <v>0.34</v>
      </c>
      <c r="N252" s="666"/>
      <c r="O252" s="23"/>
      <c r="P252" s="23"/>
    </row>
    <row r="253" spans="1:57" ht="15" hidden="1" thickTop="1" thickBot="1" x14ac:dyDescent="0.3">
      <c r="A253" s="665"/>
      <c r="B253" s="665"/>
      <c r="C253" s="665"/>
      <c r="D253" s="665"/>
      <c r="E253" s="666"/>
      <c r="F253" s="666"/>
      <c r="G253" s="666"/>
      <c r="H253" s="666"/>
      <c r="I253" s="666"/>
      <c r="J253" s="666"/>
      <c r="K253" s="667"/>
      <c r="L253" s="666"/>
      <c r="M253" s="669">
        <v>0.35</v>
      </c>
      <c r="N253" s="666"/>
      <c r="O253" s="23"/>
      <c r="P253" s="23"/>
    </row>
    <row r="254" spans="1:57" s="867" customFormat="1" ht="15" hidden="1" thickTop="1" thickBot="1" x14ac:dyDescent="0.3">
      <c r="A254" s="665"/>
      <c r="B254" s="665"/>
      <c r="C254" s="665"/>
      <c r="D254" s="665"/>
      <c r="E254" s="666"/>
      <c r="F254" s="666"/>
      <c r="G254" s="666"/>
      <c r="H254" s="666"/>
      <c r="I254" s="666"/>
      <c r="J254" s="666"/>
      <c r="K254" s="667"/>
      <c r="L254" s="666"/>
      <c r="M254" s="669">
        <v>0.376</v>
      </c>
      <c r="N254" s="666"/>
      <c r="O254" s="23"/>
      <c r="P254" s="23"/>
      <c r="Q254" s="866"/>
      <c r="R254" s="642"/>
      <c r="S254" s="642"/>
      <c r="T254" s="866"/>
      <c r="U254" s="866"/>
      <c r="V254" s="866"/>
      <c r="W254" s="866"/>
      <c r="X254" s="866"/>
      <c r="Y254" s="866"/>
      <c r="Z254" s="866"/>
      <c r="AA254" s="866"/>
      <c r="AB254" s="866"/>
      <c r="AC254" s="866"/>
      <c r="AD254" s="866"/>
      <c r="AE254" s="868"/>
      <c r="AF254" s="868"/>
      <c r="AG254" s="866"/>
      <c r="AH254" s="866"/>
      <c r="AI254" s="868"/>
      <c r="AJ254" s="868"/>
      <c r="AK254" s="866"/>
      <c r="AL254" s="866"/>
      <c r="AM254" s="866"/>
      <c r="AN254" s="866"/>
      <c r="AO254" s="866"/>
      <c r="AP254" s="866"/>
      <c r="AQ254" s="866"/>
      <c r="AR254" s="866"/>
      <c r="AS254" s="866"/>
      <c r="AT254" s="866"/>
      <c r="AU254" s="866"/>
      <c r="AV254" s="866"/>
      <c r="AW254" s="866"/>
      <c r="AX254" s="866"/>
      <c r="AY254" s="866"/>
      <c r="AZ254" s="866"/>
      <c r="BA254" s="866"/>
      <c r="BB254" s="866"/>
      <c r="BC254" s="866"/>
      <c r="BD254" s="866"/>
      <c r="BE254" s="866"/>
    </row>
    <row r="255" spans="1:57" ht="15" hidden="1" thickTop="1" thickBot="1" x14ac:dyDescent="0.3">
      <c r="A255" s="665"/>
      <c r="B255" s="665"/>
      <c r="C255" s="665"/>
      <c r="D255" s="665"/>
      <c r="E255" s="666"/>
      <c r="F255" s="666"/>
      <c r="G255" s="666"/>
      <c r="H255" s="666"/>
      <c r="I255" s="666"/>
      <c r="J255" s="666"/>
      <c r="K255" s="667"/>
      <c r="L255" s="666"/>
      <c r="M255" s="669">
        <v>0.4</v>
      </c>
      <c r="N255" s="666"/>
      <c r="O255" s="23"/>
      <c r="P255" s="23"/>
    </row>
    <row r="256" spans="1:57" ht="15" hidden="1" thickTop="1" thickBot="1" x14ac:dyDescent="0.3">
      <c r="A256" s="665"/>
      <c r="B256" s="665"/>
      <c r="C256" s="665"/>
      <c r="D256" s="665"/>
      <c r="E256" s="666"/>
      <c r="F256" s="666"/>
      <c r="G256" s="666"/>
      <c r="H256" s="666"/>
      <c r="I256" s="666"/>
      <c r="J256" s="666"/>
      <c r="K256" s="667"/>
      <c r="L256" s="666"/>
      <c r="M256" s="669">
        <v>0.41</v>
      </c>
      <c r="N256" s="666"/>
      <c r="O256" s="23"/>
      <c r="P256" s="23"/>
    </row>
    <row r="257" spans="1:57" s="867" customFormat="1" ht="15" hidden="1" thickTop="1" thickBot="1" x14ac:dyDescent="0.3">
      <c r="A257" s="665"/>
      <c r="B257" s="665"/>
      <c r="C257" s="665"/>
      <c r="D257" s="665"/>
      <c r="E257" s="666"/>
      <c r="F257" s="666"/>
      <c r="G257" s="666"/>
      <c r="H257" s="666"/>
      <c r="I257" s="666"/>
      <c r="J257" s="666"/>
      <c r="K257" s="667"/>
      <c r="L257" s="666"/>
      <c r="M257" s="669">
        <v>0.69</v>
      </c>
      <c r="N257" s="666"/>
      <c r="O257" s="23"/>
      <c r="P257" s="23"/>
      <c r="Q257" s="866"/>
      <c r="R257" s="642"/>
      <c r="S257" s="642"/>
      <c r="T257" s="866"/>
      <c r="U257" s="866"/>
      <c r="V257" s="866"/>
      <c r="W257" s="866"/>
      <c r="X257" s="866"/>
      <c r="Y257" s="866"/>
      <c r="Z257" s="866"/>
      <c r="AA257" s="866"/>
      <c r="AB257" s="866"/>
      <c r="AC257" s="866"/>
      <c r="AD257" s="866"/>
      <c r="AE257" s="868"/>
      <c r="AF257" s="868"/>
      <c r="AG257" s="866"/>
      <c r="AH257" s="866"/>
      <c r="AI257" s="868"/>
      <c r="AJ257" s="868"/>
      <c r="AK257" s="866"/>
      <c r="AL257" s="866"/>
      <c r="AM257" s="866"/>
      <c r="AN257" s="866"/>
      <c r="AO257" s="866"/>
      <c r="AP257" s="866"/>
      <c r="AQ257" s="866"/>
      <c r="AR257" s="866"/>
      <c r="AS257" s="866"/>
      <c r="AT257" s="866"/>
      <c r="AU257" s="866"/>
      <c r="AV257" s="866"/>
      <c r="AW257" s="866"/>
      <c r="AX257" s="866"/>
      <c r="AY257" s="866"/>
      <c r="AZ257" s="866"/>
      <c r="BA257" s="866"/>
      <c r="BB257" s="866"/>
      <c r="BC257" s="866"/>
      <c r="BD257" s="866"/>
      <c r="BE257" s="866"/>
    </row>
    <row r="258" spans="1:57" ht="15" hidden="1" thickTop="1" thickBot="1" x14ac:dyDescent="0.3">
      <c r="A258" s="665"/>
      <c r="B258" s="665"/>
      <c r="C258" s="665"/>
      <c r="D258" s="665"/>
      <c r="E258" s="666"/>
      <c r="F258" s="666"/>
      <c r="G258" s="666"/>
      <c r="H258" s="666"/>
      <c r="I258" s="666"/>
      <c r="J258" s="666"/>
      <c r="K258" s="667"/>
      <c r="L258" s="666"/>
      <c r="M258" s="670">
        <v>0.69499999999999995</v>
      </c>
      <c r="N258" s="666"/>
      <c r="O258" s="23"/>
      <c r="P258" s="23"/>
    </row>
    <row r="259" spans="1:57" ht="20.25" customHeight="1" thickTop="1" thickBot="1" x14ac:dyDescent="0.3">
      <c r="A259" s="1236" t="s">
        <v>362</v>
      </c>
      <c r="B259" s="1236"/>
      <c r="C259" s="1236"/>
      <c r="D259" s="1236"/>
      <c r="E259" s="322"/>
      <c r="F259" s="322"/>
      <c r="G259" s="322"/>
      <c r="H259" s="322"/>
      <c r="I259" s="322"/>
      <c r="J259" s="322"/>
      <c r="K259" s="323"/>
      <c r="L259" s="322"/>
      <c r="M259" s="320"/>
      <c r="N259" s="449"/>
      <c r="O259" s="23"/>
      <c r="P259" s="23"/>
    </row>
    <row r="260" spans="1:57" ht="16.5" customHeight="1" thickTop="1" thickBot="1" x14ac:dyDescent="0.3">
      <c r="A260" s="443"/>
      <c r="B260" s="443"/>
      <c r="C260" s="443"/>
      <c r="D260" s="443"/>
      <c r="E260" s="443"/>
      <c r="F260" s="443"/>
      <c r="G260" s="443"/>
      <c r="H260" s="443"/>
      <c r="I260" s="443"/>
      <c r="J260" s="443"/>
      <c r="K260" s="445"/>
      <c r="L260" s="443"/>
      <c r="M260" s="443"/>
      <c r="N260" s="328"/>
      <c r="O260" s="23"/>
      <c r="P260" s="23"/>
    </row>
    <row r="261" spans="1:57" ht="16.5" customHeight="1" thickTop="1" thickBot="1" x14ac:dyDescent="0.3">
      <c r="A261" s="1093" t="s">
        <v>538</v>
      </c>
      <c r="B261" s="1093"/>
      <c r="C261" s="438"/>
      <c r="D261" s="438"/>
      <c r="E261" s="438"/>
      <c r="F261" s="438"/>
      <c r="G261" s="438"/>
      <c r="H261" s="438"/>
      <c r="I261" s="438"/>
      <c r="J261" s="438"/>
      <c r="K261" s="439"/>
      <c r="L261" s="321" t="s">
        <v>60</v>
      </c>
      <c r="M261" s="438"/>
      <c r="N261" s="1048" t="s">
        <v>149</v>
      </c>
      <c r="O261" s="187"/>
      <c r="P261" s="187"/>
    </row>
    <row r="262" spans="1:57" ht="16.5" customHeight="1" thickTop="1" x14ac:dyDescent="0.25">
      <c r="A262" s="1093" t="s">
        <v>554</v>
      </c>
      <c r="B262" s="1093"/>
      <c r="C262" s="438"/>
      <c r="D262" s="438"/>
      <c r="E262" s="438"/>
      <c r="F262" s="438"/>
      <c r="G262" s="438"/>
      <c r="H262" s="438"/>
      <c r="I262" s="438"/>
      <c r="J262" s="438"/>
      <c r="K262" s="439"/>
      <c r="L262" s="438"/>
      <c r="M262" s="438"/>
      <c r="N262" s="1049" t="s">
        <v>150</v>
      </c>
      <c r="O262" s="187"/>
      <c r="P262" s="187"/>
    </row>
    <row r="263" spans="1:57" ht="16.5" customHeight="1" x14ac:dyDescent="0.25">
      <c r="A263" s="1093" t="s">
        <v>599</v>
      </c>
      <c r="B263" s="1093"/>
      <c r="C263" s="438"/>
      <c r="D263" s="438"/>
      <c r="E263" s="438"/>
      <c r="F263" s="438"/>
      <c r="G263" s="438"/>
      <c r="H263" s="438"/>
      <c r="I263" s="438"/>
      <c r="J263" s="438"/>
      <c r="K263" s="439"/>
      <c r="L263" s="438"/>
      <c r="M263" s="438"/>
      <c r="N263" s="320"/>
      <c r="O263" s="23"/>
      <c r="P263" s="23"/>
    </row>
    <row r="264" spans="1:57" ht="16.5" customHeight="1" x14ac:dyDescent="0.25">
      <c r="A264" s="1093" t="s">
        <v>555</v>
      </c>
      <c r="B264" s="1093"/>
      <c r="C264" s="438"/>
      <c r="D264" s="438"/>
      <c r="E264" s="438"/>
      <c r="F264" s="438"/>
      <c r="G264" s="438"/>
      <c r="H264" s="438"/>
      <c r="I264" s="438"/>
      <c r="J264" s="438"/>
      <c r="K264" s="439"/>
      <c r="L264" s="438"/>
      <c r="M264" s="438"/>
      <c r="N264" s="320"/>
      <c r="O264" s="23"/>
      <c r="P264" s="23"/>
    </row>
    <row r="265" spans="1:57" ht="16.5" customHeight="1" x14ac:dyDescent="0.25">
      <c r="A265" s="1093" t="s">
        <v>603</v>
      </c>
      <c r="B265" s="1093"/>
      <c r="C265" s="438"/>
      <c r="D265" s="438"/>
      <c r="E265" s="438"/>
      <c r="F265" s="438"/>
      <c r="G265" s="438"/>
      <c r="H265" s="438"/>
      <c r="I265" s="438"/>
      <c r="J265" s="438"/>
      <c r="K265" s="439"/>
      <c r="L265" s="438"/>
      <c r="M265" s="438"/>
      <c r="N265" s="320"/>
      <c r="O265" s="23"/>
      <c r="P265" s="23"/>
    </row>
    <row r="266" spans="1:57" ht="18" x14ac:dyDescent="0.25">
      <c r="A266" s="446"/>
      <c r="B266" s="446"/>
      <c r="C266" s="447"/>
      <c r="D266" s="447"/>
      <c r="E266" s="447"/>
      <c r="F266" s="447"/>
      <c r="G266" s="447"/>
      <c r="H266" s="447"/>
      <c r="I266" s="447"/>
      <c r="J266" s="447"/>
      <c r="K266" s="447"/>
      <c r="L266" s="447"/>
      <c r="M266" s="447"/>
      <c r="N266" s="447"/>
      <c r="O266" s="188"/>
      <c r="P266" s="188"/>
    </row>
    <row r="267" spans="1:57" x14ac:dyDescent="0.25">
      <c r="A267" s="469"/>
      <c r="B267" s="860"/>
      <c r="C267" s="469"/>
      <c r="D267" s="860"/>
      <c r="E267" s="470"/>
      <c r="F267" s="470"/>
      <c r="G267" s="861"/>
      <c r="H267" s="470"/>
      <c r="I267" s="470"/>
      <c r="J267" s="470"/>
      <c r="K267" s="470"/>
      <c r="L267" s="470"/>
      <c r="M267" s="470"/>
      <c r="N267" s="470"/>
      <c r="O267" s="57"/>
      <c r="P267" s="57"/>
      <c r="Q267" s="246"/>
      <c r="R267" s="305"/>
    </row>
    <row r="268" spans="1:57" ht="14.4" x14ac:dyDescent="0.25">
      <c r="A268" s="897" t="s">
        <v>519</v>
      </c>
      <c r="B268" s="897"/>
      <c r="C268" s="471"/>
      <c r="D268" s="883"/>
      <c r="E268" s="472"/>
      <c r="F268" s="472"/>
      <c r="G268" s="884"/>
      <c r="H268" s="472"/>
      <c r="I268" s="472"/>
      <c r="J268" s="472"/>
      <c r="K268" s="472"/>
      <c r="L268" s="472"/>
      <c r="M268" s="472"/>
      <c r="N268" s="472"/>
      <c r="O268" s="57"/>
      <c r="P268" s="57"/>
      <c r="Q268" s="246"/>
      <c r="R268" s="305"/>
    </row>
    <row r="269" spans="1:57" ht="14.4" thickBot="1" x14ac:dyDescent="0.3">
      <c r="A269" s="473"/>
      <c r="B269" s="857"/>
      <c r="C269" s="474"/>
      <c r="D269" s="858"/>
      <c r="E269" s="475"/>
      <c r="F269" s="475"/>
      <c r="G269" s="859"/>
      <c r="H269" s="475"/>
      <c r="I269" s="475"/>
      <c r="J269" s="475"/>
      <c r="K269" s="475"/>
      <c r="L269" s="475"/>
      <c r="M269" s="475"/>
      <c r="N269" s="475"/>
      <c r="O269" s="57"/>
      <c r="P269" s="57"/>
      <c r="Q269" s="246"/>
      <c r="R269" s="305"/>
    </row>
    <row r="270" spans="1:57" x14ac:dyDescent="0.25">
      <c r="A270" s="453"/>
      <c r="B270" s="453"/>
      <c r="C270" s="328"/>
      <c r="D270" s="328"/>
      <c r="E270" s="328"/>
      <c r="F270" s="328"/>
      <c r="G270" s="328"/>
      <c r="H270" s="328"/>
      <c r="I270" s="328"/>
      <c r="J270" s="328"/>
      <c r="K270" s="328"/>
      <c r="L270" s="328"/>
      <c r="M270" s="328"/>
      <c r="N270" s="328"/>
      <c r="Q270" s="326"/>
      <c r="R270" s="640"/>
    </row>
    <row r="271" spans="1:57" hidden="1" x14ac:dyDescent="0.25">
      <c r="A271" s="477"/>
      <c r="B271" s="477"/>
      <c r="C271" s="405"/>
      <c r="D271" s="405"/>
      <c r="E271" s="230"/>
      <c r="F271" s="230"/>
      <c r="G271" s="866"/>
      <c r="H271" s="230"/>
      <c r="I271" s="230"/>
      <c r="J271" s="230"/>
      <c r="K271" s="230"/>
      <c r="L271" s="230"/>
      <c r="M271" s="230"/>
      <c r="N271" s="230"/>
      <c r="Q271" s="326"/>
      <c r="R271" s="640"/>
    </row>
    <row r="272" spans="1:57" hidden="1" x14ac:dyDescent="0.25">
      <c r="A272" s="539"/>
      <c r="B272" s="539"/>
      <c r="C272" s="539"/>
      <c r="D272" s="539"/>
      <c r="E272" s="561"/>
      <c r="F272" s="561"/>
      <c r="G272" s="561"/>
      <c r="H272" s="561"/>
      <c r="I272" s="561"/>
      <c r="J272" s="561"/>
      <c r="K272" s="561"/>
      <c r="L272" s="561"/>
      <c r="M272" s="561"/>
      <c r="N272" s="561"/>
      <c r="Q272" s="326"/>
      <c r="R272" s="640"/>
    </row>
    <row r="273" spans="1:36" hidden="1" x14ac:dyDescent="0.25">
      <c r="A273" s="686"/>
      <c r="B273" s="1373"/>
      <c r="C273" s="687"/>
      <c r="D273" s="676"/>
      <c r="E273" s="561"/>
      <c r="F273" s="688" t="s">
        <v>64</v>
      </c>
      <c r="G273" s="688"/>
      <c r="H273" s="561"/>
      <c r="I273" s="561"/>
      <c r="J273" s="561"/>
      <c r="K273" s="561"/>
      <c r="L273" s="671"/>
      <c r="M273" s="561"/>
      <c r="N273" s="671"/>
      <c r="O273" s="201"/>
      <c r="P273" s="201"/>
      <c r="Q273" s="326"/>
      <c r="R273" s="640"/>
    </row>
    <row r="274" spans="1:36" hidden="1" x14ac:dyDescent="0.25">
      <c r="A274" s="689"/>
      <c r="B274" s="676"/>
      <c r="C274" s="690"/>
      <c r="D274" s="676"/>
      <c r="E274" s="561"/>
      <c r="F274" s="691">
        <v>0</v>
      </c>
      <c r="G274" s="691"/>
      <c r="H274" s="561"/>
      <c r="I274" s="561"/>
      <c r="J274" s="561"/>
      <c r="K274" s="561"/>
      <c r="L274" s="561"/>
      <c r="M274" s="561"/>
      <c r="N274" s="561"/>
      <c r="Q274" s="326"/>
      <c r="R274" s="640"/>
    </row>
    <row r="275" spans="1:36" hidden="1" x14ac:dyDescent="0.25">
      <c r="A275" s="692"/>
      <c r="B275" s="1369"/>
      <c r="C275" s="693"/>
      <c r="D275" s="676"/>
      <c r="E275" s="561"/>
      <c r="F275" s="694">
        <v>25000</v>
      </c>
      <c r="G275" s="694"/>
      <c r="H275" s="561"/>
      <c r="I275" s="561"/>
      <c r="J275" s="561"/>
      <c r="K275" s="561"/>
      <c r="L275" s="561"/>
      <c r="M275" s="561"/>
      <c r="N275" s="561"/>
      <c r="Q275" s="326"/>
      <c r="R275" s="640"/>
    </row>
    <row r="276" spans="1:36" hidden="1" x14ac:dyDescent="0.25">
      <c r="A276" s="561"/>
      <c r="B276" s="561"/>
      <c r="C276" s="561"/>
      <c r="D276" s="561"/>
      <c r="E276" s="561"/>
      <c r="F276" s="694">
        <v>50000</v>
      </c>
      <c r="G276" s="694"/>
      <c r="H276" s="539"/>
      <c r="I276" s="539"/>
      <c r="J276" s="539"/>
      <c r="K276" s="561"/>
      <c r="L276" s="561"/>
      <c r="M276" s="561"/>
      <c r="N276" s="561"/>
      <c r="Q276" s="326"/>
      <c r="R276" s="640"/>
    </row>
    <row r="277" spans="1:36" hidden="1" x14ac:dyDescent="0.25">
      <c r="A277" s="674" t="s">
        <v>63</v>
      </c>
      <c r="B277" s="674"/>
      <c r="C277" s="561"/>
      <c r="D277" s="561"/>
      <c r="E277" s="561"/>
      <c r="F277" s="694">
        <v>75000</v>
      </c>
      <c r="G277" s="694"/>
      <c r="H277" s="539"/>
      <c r="I277" s="539"/>
      <c r="J277" s="539"/>
      <c r="K277" s="561"/>
      <c r="L277" s="561"/>
      <c r="M277" s="561"/>
      <c r="N277" s="561"/>
      <c r="Q277" s="326"/>
      <c r="R277" s="640"/>
    </row>
    <row r="278" spans="1:36" hidden="1" x14ac:dyDescent="0.25">
      <c r="A278" s="676" t="s">
        <v>59</v>
      </c>
      <c r="B278" s="676"/>
      <c r="C278" s="561"/>
      <c r="D278" s="561"/>
      <c r="E278" s="561"/>
      <c r="F278" s="694">
        <v>100000</v>
      </c>
      <c r="G278" s="694"/>
      <c r="H278" s="539"/>
      <c r="I278" s="539"/>
      <c r="J278" s="539"/>
      <c r="K278" s="561"/>
      <c r="L278" s="561"/>
      <c r="M278" s="561"/>
      <c r="N278" s="561"/>
      <c r="Q278" s="326"/>
      <c r="R278" s="640"/>
    </row>
    <row r="279" spans="1:36" hidden="1" x14ac:dyDescent="0.25">
      <c r="A279" s="676" t="s">
        <v>60</v>
      </c>
      <c r="B279" s="676"/>
      <c r="C279" s="561"/>
      <c r="D279" s="561"/>
      <c r="E279" s="561"/>
      <c r="F279" s="694">
        <v>125000</v>
      </c>
      <c r="G279" s="694"/>
      <c r="H279" s="539"/>
      <c r="I279" s="539"/>
      <c r="J279" s="539"/>
      <c r="K279" s="561"/>
      <c r="L279" s="561"/>
      <c r="M279" s="561"/>
      <c r="N279" s="561"/>
      <c r="Q279" s="326"/>
      <c r="R279" s="640"/>
    </row>
    <row r="280" spans="1:36" hidden="1" x14ac:dyDescent="0.25">
      <c r="A280" s="561"/>
      <c r="B280" s="561"/>
      <c r="C280" s="561"/>
      <c r="D280" s="561"/>
      <c r="E280" s="561"/>
      <c r="F280" s="694">
        <v>150000</v>
      </c>
      <c r="G280" s="694"/>
      <c r="H280" s="539"/>
      <c r="I280" s="539"/>
      <c r="J280" s="539"/>
      <c r="K280" s="561"/>
      <c r="L280" s="561"/>
      <c r="M280" s="561"/>
      <c r="N280" s="561"/>
      <c r="Q280" s="326"/>
      <c r="R280" s="640"/>
    </row>
    <row r="281" spans="1:36" hidden="1" x14ac:dyDescent="0.25">
      <c r="A281" s="561"/>
      <c r="B281" s="561"/>
      <c r="C281" s="561"/>
      <c r="D281" s="561"/>
      <c r="E281" s="561"/>
      <c r="F281" s="694">
        <v>175000</v>
      </c>
      <c r="G281" s="694"/>
      <c r="H281" s="539"/>
      <c r="I281" s="539"/>
      <c r="J281" s="539"/>
      <c r="K281" s="561"/>
      <c r="L281" s="561"/>
      <c r="M281" s="561"/>
      <c r="N281" s="561"/>
      <c r="Q281" s="326"/>
      <c r="R281" s="640"/>
    </row>
    <row r="282" spans="1:36" hidden="1" x14ac:dyDescent="0.25">
      <c r="A282" s="561"/>
      <c r="B282" s="561"/>
      <c r="C282" s="561"/>
      <c r="D282" s="561"/>
      <c r="E282" s="561"/>
      <c r="F282" s="694">
        <v>200000</v>
      </c>
      <c r="G282" s="694"/>
      <c r="H282" s="539"/>
      <c r="I282" s="539"/>
      <c r="J282" s="539"/>
      <c r="K282" s="561"/>
      <c r="L282" s="561"/>
      <c r="M282" s="561"/>
      <c r="N282" s="561"/>
      <c r="Q282" s="326"/>
      <c r="R282" s="640"/>
    </row>
    <row r="283" spans="1:36" hidden="1" x14ac:dyDescent="0.25">
      <c r="A283" s="561"/>
      <c r="B283" s="561"/>
      <c r="C283" s="561"/>
      <c r="D283" s="561"/>
      <c r="E283" s="561"/>
      <c r="F283" s="694">
        <v>225000</v>
      </c>
      <c r="G283" s="694"/>
      <c r="H283" s="539"/>
      <c r="I283" s="539"/>
      <c r="J283" s="539"/>
      <c r="K283" s="561"/>
      <c r="L283" s="561"/>
      <c r="M283" s="561"/>
      <c r="N283" s="561"/>
      <c r="Q283" s="326"/>
      <c r="R283" s="640"/>
    </row>
    <row r="284" spans="1:36" hidden="1" x14ac:dyDescent="0.25">
      <c r="A284" s="561"/>
      <c r="B284" s="561"/>
      <c r="C284" s="561"/>
      <c r="D284" s="561"/>
      <c r="E284" s="561"/>
      <c r="F284" s="694">
        <v>250000</v>
      </c>
      <c r="G284" s="694"/>
      <c r="H284" s="539"/>
      <c r="I284" s="539"/>
      <c r="J284" s="539"/>
      <c r="K284" s="561"/>
      <c r="L284" s="561"/>
      <c r="M284" s="561"/>
      <c r="N284" s="561"/>
      <c r="Q284" s="326"/>
      <c r="R284" s="640"/>
    </row>
    <row r="285" spans="1:36" hidden="1" x14ac:dyDescent="0.25">
      <c r="A285" s="561"/>
      <c r="B285" s="561"/>
      <c r="C285" s="561"/>
      <c r="D285" s="561"/>
      <c r="E285" s="561"/>
      <c r="F285" s="539"/>
      <c r="G285" s="539"/>
      <c r="H285" s="539"/>
      <c r="I285" s="539"/>
      <c r="J285" s="539"/>
      <c r="K285" s="561"/>
      <c r="L285" s="561"/>
      <c r="M285" s="561"/>
      <c r="N285" s="561"/>
      <c r="Q285" s="326"/>
      <c r="R285" s="640"/>
    </row>
    <row r="286" spans="1:36" ht="15" hidden="1" thickTop="1" thickBot="1" x14ac:dyDescent="0.3">
      <c r="A286" s="1490" t="str">
        <f>SetUp!A4:B4</f>
        <v>1.  Is the source of the funding federal?</v>
      </c>
      <c r="B286" s="1490"/>
      <c r="C286" s="1490"/>
      <c r="D286" s="1282"/>
      <c r="E286" s="695" t="str">
        <f>SetUp!C4</f>
        <v>Yes</v>
      </c>
      <c r="F286" s="561"/>
      <c r="G286" s="561"/>
      <c r="H286" s="561"/>
      <c r="I286" s="561"/>
      <c r="J286" s="561"/>
      <c r="K286" s="561"/>
      <c r="L286" s="561"/>
      <c r="M286" s="561"/>
      <c r="N286" s="561"/>
      <c r="AE286" s="230"/>
      <c r="AF286" s="230"/>
      <c r="AI286" s="230"/>
      <c r="AJ286" s="230"/>
    </row>
    <row r="287" spans="1:36" hidden="1" x14ac:dyDescent="0.25">
      <c r="A287" s="539"/>
      <c r="B287" s="539"/>
      <c r="C287" s="539"/>
      <c r="D287" s="539"/>
      <c r="E287" s="561"/>
      <c r="F287" s="561"/>
      <c r="G287" s="561"/>
      <c r="H287" s="561"/>
      <c r="I287" s="561"/>
      <c r="J287" s="561"/>
      <c r="K287" s="561"/>
      <c r="L287" s="561"/>
      <c r="M287" s="561"/>
      <c r="N287" s="561"/>
      <c r="AE287" s="230"/>
      <c r="AF287" s="230"/>
      <c r="AI287" s="230"/>
      <c r="AJ287" s="230"/>
    </row>
    <row r="288" spans="1:36" ht="15" hidden="1" thickTop="1" thickBot="1" x14ac:dyDescent="0.3">
      <c r="A288" s="539" t="str">
        <f>'Y1'!A104</f>
        <v>1.  Is this a NIH modular budget?</v>
      </c>
      <c r="B288" s="539"/>
      <c r="C288" s="539"/>
      <c r="D288" s="539"/>
      <c r="E288" s="696" t="str">
        <f>'Y1'!L104</f>
        <v>No</v>
      </c>
      <c r="F288" s="561"/>
      <c r="G288" s="561"/>
      <c r="H288" s="561"/>
      <c r="I288" s="561"/>
      <c r="J288" s="561"/>
      <c r="K288" s="561"/>
      <c r="L288" s="561"/>
      <c r="M288" s="561"/>
      <c r="N288" s="561"/>
      <c r="AE288" s="230"/>
      <c r="AF288" s="230"/>
      <c r="AI288" s="230"/>
      <c r="AJ288" s="230"/>
    </row>
    <row r="289" spans="1:14" hidden="1" x14ac:dyDescent="0.25">
      <c r="A289" s="539" t="str">
        <f>'Y1'!A105</f>
        <v xml:space="preserve">       If Yes, please choose a module from the drop down menu in the "NIH Modular Amount" box. Also choosing Yes will allow the form to calculate F&amp;A on the modular amount.</v>
      </c>
      <c r="B289" s="539"/>
      <c r="C289" s="539"/>
      <c r="D289" s="539"/>
      <c r="E289" s="539"/>
      <c r="F289" s="539"/>
      <c r="G289" s="539"/>
      <c r="H289" s="539"/>
      <c r="I289" s="539"/>
      <c r="J289" s="539"/>
      <c r="K289" s="539"/>
      <c r="L289" s="539"/>
      <c r="M289" s="539"/>
      <c r="N289" s="539"/>
    </row>
    <row r="290" spans="1:14" ht="15" x14ac:dyDescent="0.25">
      <c r="A290" s="479"/>
      <c r="B290" s="479"/>
      <c r="C290" s="479"/>
      <c r="D290" s="479"/>
      <c r="E290" s="480"/>
      <c r="F290" s="480"/>
      <c r="G290" s="480"/>
      <c r="H290" s="480"/>
      <c r="I290" s="480"/>
      <c r="J290" s="480"/>
      <c r="K290" s="480"/>
      <c r="L290" s="230"/>
      <c r="M290" s="230"/>
      <c r="N290" s="230"/>
    </row>
    <row r="291" spans="1:14" x14ac:dyDescent="0.25">
      <c r="A291" s="403"/>
      <c r="B291" s="403"/>
      <c r="C291" s="481"/>
      <c r="D291" s="481"/>
      <c r="E291" s="480"/>
      <c r="F291" s="480"/>
      <c r="G291" s="480"/>
      <c r="H291" s="480"/>
      <c r="I291" s="480"/>
      <c r="J291" s="482"/>
      <c r="K291" s="480"/>
      <c r="L291" s="230"/>
      <c r="M291" s="230"/>
      <c r="N291" s="230"/>
    </row>
    <row r="292" spans="1:14" x14ac:dyDescent="0.25">
      <c r="A292" s="403"/>
      <c r="B292" s="403"/>
      <c r="C292" s="481"/>
      <c r="D292" s="481"/>
      <c r="E292" s="480"/>
      <c r="F292" s="480"/>
      <c r="G292" s="480"/>
      <c r="H292" s="480"/>
      <c r="I292" s="480"/>
      <c r="J292" s="481"/>
      <c r="K292" s="480"/>
      <c r="L292" s="230"/>
      <c r="M292" s="230"/>
      <c r="N292" s="230"/>
    </row>
    <row r="293" spans="1:14" x14ac:dyDescent="0.25">
      <c r="A293" s="403"/>
      <c r="B293" s="403"/>
      <c r="C293" s="481"/>
      <c r="D293" s="481"/>
      <c r="E293" s="480"/>
      <c r="F293" s="480"/>
      <c r="G293" s="480"/>
      <c r="H293" s="480"/>
      <c r="I293" s="480"/>
      <c r="J293" s="482"/>
      <c r="K293" s="480"/>
      <c r="L293" s="230"/>
      <c r="M293" s="230"/>
      <c r="N293" s="230"/>
    </row>
    <row r="294" spans="1:14" x14ac:dyDescent="0.25">
      <c r="A294" s="481"/>
      <c r="B294" s="481"/>
      <c r="C294" s="481"/>
      <c r="D294" s="481"/>
      <c r="E294" s="480"/>
      <c r="F294" s="480"/>
      <c r="G294" s="480"/>
      <c r="H294" s="480"/>
      <c r="I294" s="480"/>
      <c r="J294" s="483"/>
      <c r="K294" s="480"/>
      <c r="L294" s="230"/>
      <c r="M294" s="230"/>
      <c r="N294" s="230"/>
    </row>
    <row r="295" spans="1:14" x14ac:dyDescent="0.25">
      <c r="A295" s="403"/>
      <c r="B295" s="403"/>
      <c r="C295" s="481"/>
      <c r="D295" s="481"/>
      <c r="E295" s="480"/>
      <c r="F295" s="480"/>
      <c r="G295" s="480"/>
      <c r="H295" s="480"/>
      <c r="I295" s="480"/>
      <c r="J295" s="480"/>
      <c r="K295" s="480"/>
      <c r="L295" s="230"/>
      <c r="M295" s="230"/>
      <c r="N295" s="230"/>
    </row>
    <row r="296" spans="1:14" x14ac:dyDescent="0.25">
      <c r="A296" s="403"/>
      <c r="B296" s="403"/>
      <c r="C296" s="481"/>
      <c r="D296" s="481"/>
      <c r="E296" s="480"/>
      <c r="F296" s="480"/>
      <c r="G296" s="480"/>
      <c r="H296" s="480"/>
      <c r="I296" s="480"/>
      <c r="J296" s="482"/>
      <c r="K296" s="480"/>
      <c r="L296" s="230"/>
      <c r="M296" s="230"/>
      <c r="N296" s="230"/>
    </row>
    <row r="297" spans="1:14" x14ac:dyDescent="0.25">
      <c r="A297" s="403"/>
      <c r="B297" s="403"/>
      <c r="C297" s="481"/>
      <c r="D297" s="481"/>
      <c r="E297" s="480"/>
      <c r="F297" s="480"/>
      <c r="G297" s="480"/>
      <c r="H297" s="480"/>
      <c r="I297" s="480"/>
      <c r="J297" s="481"/>
      <c r="K297" s="480"/>
      <c r="L297" s="230"/>
      <c r="M297" s="230"/>
      <c r="N297" s="230"/>
    </row>
    <row r="298" spans="1:14" x14ac:dyDescent="0.25">
      <c r="A298" s="403"/>
      <c r="B298" s="403"/>
      <c r="C298" s="481"/>
      <c r="D298" s="481"/>
      <c r="E298" s="480"/>
      <c r="F298" s="480"/>
      <c r="G298" s="480"/>
      <c r="H298" s="480"/>
      <c r="I298" s="480"/>
      <c r="J298" s="482"/>
      <c r="K298" s="483"/>
      <c r="L298" s="230"/>
      <c r="M298" s="230"/>
      <c r="N298" s="230"/>
    </row>
    <row r="299" spans="1:14" x14ac:dyDescent="0.25">
      <c r="A299" s="481"/>
      <c r="B299" s="481"/>
      <c r="C299" s="481"/>
      <c r="D299" s="481"/>
      <c r="E299" s="480"/>
      <c r="F299" s="480"/>
      <c r="G299" s="480"/>
      <c r="H299" s="480"/>
      <c r="I299" s="480"/>
      <c r="J299" s="483"/>
      <c r="K299" s="480"/>
      <c r="L299" s="230"/>
      <c r="M299" s="230"/>
      <c r="N299" s="230"/>
    </row>
    <row r="300" spans="1:14" x14ac:dyDescent="0.25">
      <c r="A300" s="403"/>
      <c r="B300" s="403"/>
      <c r="C300" s="481"/>
      <c r="D300" s="481"/>
      <c r="E300" s="480"/>
      <c r="F300" s="480"/>
      <c r="G300" s="480"/>
      <c r="H300" s="480"/>
      <c r="I300" s="480"/>
      <c r="J300" s="480"/>
      <c r="K300" s="484"/>
      <c r="L300" s="230"/>
      <c r="M300" s="230"/>
      <c r="N300" s="230"/>
    </row>
    <row r="301" spans="1:14" x14ac:dyDescent="0.25">
      <c r="A301" s="485"/>
      <c r="B301" s="485"/>
      <c r="C301" s="485"/>
      <c r="D301" s="485"/>
      <c r="E301" s="480"/>
      <c r="F301" s="480"/>
      <c r="G301" s="480"/>
      <c r="H301" s="480"/>
      <c r="I301" s="480"/>
      <c r="J301" s="480"/>
      <c r="K301" s="480"/>
      <c r="L301" s="230"/>
      <c r="M301" s="230"/>
      <c r="N301" s="230"/>
    </row>
    <row r="302" spans="1:14" x14ac:dyDescent="0.25">
      <c r="A302" s="403"/>
      <c r="B302" s="403"/>
      <c r="C302" s="481"/>
      <c r="D302" s="481"/>
      <c r="E302" s="480"/>
      <c r="F302" s="480"/>
      <c r="G302" s="480"/>
      <c r="H302" s="480"/>
      <c r="I302" s="480"/>
      <c r="J302" s="480"/>
      <c r="K302" s="480"/>
      <c r="L302" s="230"/>
      <c r="M302" s="230"/>
      <c r="N302" s="230"/>
    </row>
    <row r="303" spans="1:14" x14ac:dyDescent="0.25">
      <c r="A303" s="481"/>
      <c r="B303" s="481"/>
      <c r="C303" s="481"/>
      <c r="D303" s="481"/>
      <c r="E303" s="480"/>
      <c r="F303" s="480"/>
      <c r="G303" s="480"/>
      <c r="H303" s="480"/>
      <c r="I303" s="480"/>
      <c r="J303" s="480"/>
      <c r="K303" s="484"/>
      <c r="L303" s="230"/>
      <c r="M303" s="230"/>
      <c r="N303" s="230"/>
    </row>
    <row r="304" spans="1:14" x14ac:dyDescent="0.25">
      <c r="A304" s="486"/>
      <c r="B304" s="486"/>
      <c r="C304" s="486"/>
      <c r="D304" s="486"/>
      <c r="E304" s="480"/>
      <c r="F304" s="480"/>
      <c r="G304" s="480"/>
      <c r="H304" s="480"/>
      <c r="I304" s="480"/>
      <c r="J304" s="480"/>
      <c r="K304" s="484"/>
      <c r="L304" s="230"/>
      <c r="M304" s="230"/>
      <c r="N304" s="230"/>
    </row>
    <row r="305" spans="1:14" x14ac:dyDescent="0.25">
      <c r="A305" s="405"/>
      <c r="B305" s="405"/>
      <c r="C305" s="405"/>
      <c r="D305" s="405"/>
      <c r="E305" s="230"/>
      <c r="F305" s="230"/>
      <c r="G305" s="866"/>
      <c r="H305" s="230"/>
      <c r="I305" s="230"/>
      <c r="J305" s="230"/>
      <c r="K305" s="230"/>
      <c r="L305" s="230"/>
      <c r="M305" s="230"/>
      <c r="N305" s="230"/>
    </row>
    <row r="306" spans="1:14" x14ac:dyDescent="0.25">
      <c r="A306" s="405"/>
      <c r="B306" s="405"/>
      <c r="C306" s="405"/>
      <c r="D306" s="405"/>
      <c r="E306" s="230"/>
      <c r="F306" s="230"/>
      <c r="G306" s="866"/>
      <c r="H306" s="230"/>
      <c r="I306" s="230"/>
      <c r="J306" s="230"/>
      <c r="K306" s="230"/>
      <c r="L306" s="230"/>
      <c r="M306" s="230"/>
      <c r="N306" s="230"/>
    </row>
    <row r="307" spans="1:14" x14ac:dyDescent="0.25">
      <c r="A307" s="405"/>
      <c r="B307" s="405"/>
      <c r="C307" s="405"/>
      <c r="D307" s="405"/>
      <c r="E307" s="230"/>
      <c r="F307" s="230"/>
      <c r="G307" s="866"/>
      <c r="H307" s="230"/>
      <c r="I307" s="230"/>
      <c r="J307" s="230"/>
      <c r="K307" s="230"/>
      <c r="L307" s="230"/>
      <c r="M307" s="230"/>
      <c r="N307" s="230"/>
    </row>
    <row r="308" spans="1:14" x14ac:dyDescent="0.25">
      <c r="A308" s="405"/>
      <c r="B308" s="405"/>
      <c r="C308" s="405"/>
      <c r="D308" s="405"/>
      <c r="E308" s="230"/>
      <c r="F308" s="230"/>
      <c r="G308" s="866"/>
      <c r="H308" s="230"/>
      <c r="I308" s="230"/>
      <c r="J308" s="230"/>
      <c r="K308" s="230"/>
      <c r="L308" s="230"/>
      <c r="M308" s="230"/>
      <c r="N308" s="230"/>
    </row>
    <row r="309" spans="1:14" x14ac:dyDescent="0.25">
      <c r="A309" s="405"/>
      <c r="B309" s="405"/>
      <c r="C309" s="405"/>
      <c r="D309" s="405"/>
      <c r="E309" s="230"/>
      <c r="F309" s="230"/>
      <c r="G309" s="866"/>
      <c r="H309" s="230"/>
      <c r="I309" s="230"/>
      <c r="J309" s="230"/>
      <c r="K309" s="230"/>
      <c r="L309" s="230"/>
      <c r="M309" s="230"/>
      <c r="N309" s="230"/>
    </row>
    <row r="310" spans="1:14" x14ac:dyDescent="0.25">
      <c r="A310" s="405"/>
      <c r="B310" s="405"/>
      <c r="C310" s="405"/>
      <c r="D310" s="405"/>
      <c r="E310" s="230"/>
      <c r="F310" s="230"/>
      <c r="G310" s="866"/>
      <c r="H310" s="230"/>
      <c r="I310" s="230"/>
      <c r="J310" s="230"/>
      <c r="K310" s="230"/>
      <c r="L310" s="230"/>
      <c r="M310" s="230"/>
      <c r="N310" s="230"/>
    </row>
  </sheetData>
  <sheetProtection algorithmName="SHA-512" hashValue="sSR5kts0b9Gi1ZjpwjomM8N7TXDcbfapTpV7ynuemmQjuA6uwe/HYhIRF/mGYowG/bhJuQDVEBRNCnrnyHNWRA==" saltValue="2kCEOFDOEPr7JWM6xUQG2w==" spinCount="100000" sheet="1" formatCells="0" formatColumns="0"/>
  <mergeCells count="29">
    <mergeCell ref="V3:V6"/>
    <mergeCell ref="W3:W6"/>
    <mergeCell ref="AD12:AJ12"/>
    <mergeCell ref="Z12:Z16"/>
    <mergeCell ref="Z2:Z6"/>
    <mergeCell ref="AA2:AA6"/>
    <mergeCell ref="AA12:AA16"/>
    <mergeCell ref="V13:V16"/>
    <mergeCell ref="W13:W16"/>
    <mergeCell ref="X12:X16"/>
    <mergeCell ref="Y12:Y16"/>
    <mergeCell ref="AH16:AJ16"/>
    <mergeCell ref="AL16:AM16"/>
    <mergeCell ref="AO16:AP16"/>
    <mergeCell ref="AR16:AT16"/>
    <mergeCell ref="L12:N12"/>
    <mergeCell ref="R12:R16"/>
    <mergeCell ref="Q13:Q16"/>
    <mergeCell ref="U13:U16"/>
    <mergeCell ref="AL33:AM33"/>
    <mergeCell ref="AD52:AE52"/>
    <mergeCell ref="AH52:AJ52"/>
    <mergeCell ref="AO33:AP33"/>
    <mergeCell ref="AR33:AT33"/>
    <mergeCell ref="A286:C286"/>
    <mergeCell ref="AD61:AE61"/>
    <mergeCell ref="AH61:AJ61"/>
    <mergeCell ref="AD33:AF33"/>
    <mergeCell ref="AH33:AJ33"/>
  </mergeCells>
  <phoneticPr fontId="17" type="noConversion"/>
  <dataValidations count="18">
    <dataValidation type="list" allowBlank="1" showInputMessage="1" showErrorMessage="1" prompt="If you've already included the subaward on your Y1 budget and its Y1 value is equal to or greater than 25K, answer No." sqref="H132">
      <formula1>$A$278:$A$279</formula1>
    </dataValidation>
    <dataValidation type="list" allowBlank="1" showInputMessage="1" showErrorMessage="1" promptTitle="Still not sure?" prompt="PIs generally add new subawards in the Y1 budget tab and continue them in the future years. _x000a__x000a_If you're adding it for the 1st time in this budget year and its value is less than $25,000, answer Yes." sqref="H174">
      <formula1>$A$209:$A$210</formula1>
    </dataValidation>
    <dataValidation type="list" allowBlank="1" showInputMessage="1" showErrorMessage="1" sqref="K108:K111">
      <formula1>Subwardsq</formula1>
    </dataValidation>
    <dataValidation type="list" allowBlank="1" showInputMessage="1" showErrorMessage="1" sqref="H137">
      <formula1>$M$139:$M$164</formula1>
    </dataValidation>
    <dataValidation type="list" allowBlank="1" showInputMessage="1" showErrorMessage="1" sqref="H167 R18:R24 J193 H124 H234 L105 L196 L241 O204:P204 L187 U17:U24 L203 M204 L261">
      <formula1>$A$278:$A$279</formula1>
    </dataValidation>
    <dataValidation type="list" allowBlank="1" showInputMessage="1" showErrorMessage="1" promptTitle="Not Sure?" prompt="Assume Yes unless otherwise specified in the agency's instructions." sqref="L231">
      <formula1>$A$278:$A$279</formula1>
    </dataValidation>
    <dataValidation allowBlank="1" showInputMessage="1" showErrorMessage="1" promptTitle="Confused?" prompt="Do not confuse the FRINGE BENEFIT RATE with the F&amp;A Rate.  This question is about fringe benefits." sqref="M232"/>
    <dataValidation type="list" allowBlank="1" showInputMessage="1" showErrorMessage="1" sqref="L122">
      <formula1>$L$109:$L$121</formula1>
    </dataValidation>
    <dataValidation type="list" allowBlank="1" showInputMessage="1" showErrorMessage="1" promptTitle="K award?" prompt="Answer &quot;No&quot; if this is a K award.  _x000a__x000a_Answer &quot;Yes&quot; if there is a K awardee on your budget where the funding source is federal.  Example: NIH R01 grant with a K awardee as a co-investigator." sqref="R17">
      <formula1>$A$278:$A$279</formula1>
    </dataValidation>
    <dataValidation type="list" allowBlank="1" showInputMessage="1" showErrorMessage="1" sqref="N81:P81">
      <formula1>$F$274:$F$284</formula1>
    </dataValidation>
    <dataValidation type="whole" allowBlank="1" showInputMessage="1" showErrorMessage="1" sqref="H182">
      <formula1>0</formula1>
      <formula2>25000</formula2>
    </dataValidation>
    <dataValidation type="whole" operator="lessThanOrEqual" allowBlank="1" showInputMessage="1" showErrorMessage="1" sqref="H181">
      <formula1>25000</formula1>
    </dataValidation>
    <dataValidation type="whole" allowBlank="1" showInputMessage="1" showErrorMessage="1" sqref="I182">
      <formula1>0</formula1>
      <formula2>24999</formula2>
    </dataValidation>
    <dataValidation type="list" allowBlank="1" showInputMessage="1" showErrorMessage="1" sqref="L85">
      <formula1>$M$207:$M$210</formula1>
    </dataValidation>
    <dataValidation type="list" allowBlank="1" showInputMessage="1" showErrorMessage="1" sqref="L89">
      <formula1>$M$212:$M$215</formula1>
    </dataValidation>
    <dataValidation type="list" allowBlank="1" showInputMessage="1" showErrorMessage="1" sqref="H96">
      <formula1>$M$243:$M$259</formula1>
    </dataValidation>
    <dataValidation allowBlank="1" showInputMessage="1" showErrorMessage="1" promptTitle="Percent Effort" prompt="For Full Time Positions - _x000a_If you prefer % effort for any of the personnel rows, you may use the Effort Converter Calculator on the seperate worksheet." sqref="H17"/>
    <dataValidation allowBlank="1" showInputMessage="1" showErrorMessage="1" promptTitle="Part-Time Faculty" prompt="If there are part-time faculty on any of the rows, you must annualize their base salary.  You may use the P-T Faculty worksheet to do so." sqref="G17"/>
  </dataValidations>
  <hyperlinks>
    <hyperlink ref="N124" r:id="rId1"/>
    <hyperlink ref="N261" r:id="rId2"/>
    <hyperlink ref="N262" r:id="rId3"/>
  </hyperlinks>
  <pageMargins left="0.25" right="0.25" top="0.25" bottom="0.25" header="0" footer="0"/>
  <pageSetup scale="61" orientation="portrait" horizontalDpi="1200" verticalDpi="1200" r:id="rId4"/>
  <headerFooter alignWithMargins="0"/>
  <drawing r:id="rId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6"/>
  <sheetViews>
    <sheetView zoomScale="110" zoomScaleNormal="110" zoomScalePageLayoutView="75" workbookViewId="0">
      <selection activeCell="B3" sqref="B3"/>
    </sheetView>
  </sheetViews>
  <sheetFormatPr defaultColWidth="8.88671875" defaultRowHeight="13.8" x14ac:dyDescent="0.25"/>
  <cols>
    <col min="1" max="1" width="45" style="8" customWidth="1"/>
    <col min="2" max="6" width="11.33203125" style="6" customWidth="1"/>
    <col min="7" max="7" width="15.6640625" style="6" customWidth="1"/>
    <col min="8" max="8" width="15" style="569" hidden="1" customWidth="1"/>
    <col min="9" max="9" width="8.33203125" style="569" hidden="1" customWidth="1"/>
    <col min="10" max="10" width="1.6640625" style="569" hidden="1" customWidth="1"/>
    <col min="11" max="11" width="13.88671875" style="545" hidden="1" customWidth="1"/>
    <col min="12" max="12" width="10.6640625" style="545" customWidth="1"/>
    <col min="13" max="13" width="1.44140625" style="545" customWidth="1"/>
    <col min="14" max="14" width="10.88671875" style="545" customWidth="1"/>
    <col min="15" max="15" width="11" style="545" bestFit="1" customWidth="1"/>
    <col min="16" max="16" width="1.6640625" style="545" customWidth="1"/>
    <col min="17" max="17" width="11.33203125" style="545" customWidth="1"/>
    <col min="18" max="20" width="8.44140625" style="545" customWidth="1"/>
    <col min="21" max="21" width="8.88671875" style="545"/>
    <col min="22" max="22" width="10.109375" style="545" bestFit="1" customWidth="1"/>
    <col min="23" max="24" width="8.88671875" style="545"/>
    <col min="25" max="25" width="11.33203125" style="545" bestFit="1" customWidth="1"/>
    <col min="26" max="26" width="8.88671875" style="545"/>
    <col min="27" max="16384" width="8.88671875" style="6"/>
  </cols>
  <sheetData>
    <row r="1" spans="1:26" x14ac:dyDescent="0.25">
      <c r="A1" s="521"/>
      <c r="B1" s="283" t="s">
        <v>58</v>
      </c>
      <c r="C1" s="819"/>
      <c r="D1" s="283"/>
      <c r="E1" s="283"/>
      <c r="F1" s="283"/>
      <c r="G1" s="283"/>
    </row>
    <row r="2" spans="1:26" x14ac:dyDescent="0.25">
      <c r="A2" s="522"/>
      <c r="B2" s="62"/>
      <c r="C2" s="556"/>
      <c r="D2" s="556"/>
      <c r="E2" s="579"/>
      <c r="F2" s="579"/>
      <c r="G2" s="579"/>
    </row>
    <row r="3" spans="1:26" s="1" customFormat="1" ht="15" customHeight="1" x14ac:dyDescent="0.25">
      <c r="A3" s="1245" t="s">
        <v>37</v>
      </c>
      <c r="B3" s="1242" t="str">
        <f>'Y1'!B8</f>
        <v>enter PI name in this cell on Y1 tab</v>
      </c>
      <c r="C3" s="326"/>
      <c r="D3" s="326"/>
      <c r="E3" s="246"/>
      <c r="F3" s="579"/>
      <c r="G3" s="1055" t="s">
        <v>632</v>
      </c>
      <c r="H3" s="262"/>
      <c r="I3" s="230"/>
      <c r="J3" s="230"/>
      <c r="K3" s="230"/>
      <c r="L3" s="230"/>
      <c r="M3" s="230"/>
      <c r="N3" s="230"/>
      <c r="O3" s="230"/>
      <c r="P3" s="230"/>
      <c r="Q3" s="230"/>
      <c r="R3" s="230"/>
      <c r="S3" s="230"/>
      <c r="T3" s="230"/>
      <c r="U3" s="230"/>
      <c r="V3" s="230"/>
      <c r="W3" s="230"/>
      <c r="X3" s="230"/>
      <c r="Y3" s="230"/>
      <c r="Z3" s="230"/>
    </row>
    <row r="4" spans="1:26" s="1" customFormat="1" x14ac:dyDescent="0.25">
      <c r="A4" s="1245" t="s">
        <v>38</v>
      </c>
      <c r="B4" s="1242" t="str">
        <f>'Y1'!B9</f>
        <v>enter funding agency name in this cell on Y1 tab</v>
      </c>
      <c r="C4" s="326"/>
      <c r="D4" s="230"/>
      <c r="E4" s="246"/>
      <c r="F4" s="579"/>
      <c r="G4" s="579"/>
      <c r="H4" s="262"/>
      <c r="I4" s="230"/>
      <c r="J4" s="230"/>
      <c r="K4" s="527"/>
      <c r="L4" s="527"/>
      <c r="M4" s="527"/>
      <c r="N4" s="230"/>
      <c r="O4" s="230"/>
      <c r="P4" s="230"/>
      <c r="Q4" s="230"/>
      <c r="R4" s="230"/>
      <c r="S4" s="230"/>
      <c r="T4" s="230"/>
      <c r="U4" s="230"/>
      <c r="V4" s="230"/>
      <c r="W4" s="230"/>
      <c r="X4" s="230"/>
      <c r="Y4" s="230"/>
      <c r="Z4" s="230"/>
    </row>
    <row r="5" spans="1:26" s="2" customFormat="1" ht="15" customHeight="1" x14ac:dyDescent="0.25">
      <c r="A5" s="1245" t="s">
        <v>39</v>
      </c>
      <c r="B5" s="1242" t="str">
        <f>'Y1'!B10</f>
        <v>enter project title in this cell on Y1 tab</v>
      </c>
      <c r="C5" s="555"/>
      <c r="D5" s="231"/>
      <c r="E5" s="275"/>
      <c r="F5" s="579"/>
      <c r="G5" s="579"/>
      <c r="H5" s="236"/>
      <c r="I5" s="231"/>
      <c r="J5" s="231"/>
      <c r="K5" s="231"/>
      <c r="L5" s="231"/>
      <c r="M5" s="231"/>
      <c r="N5" s="231"/>
      <c r="O5" s="231"/>
      <c r="P5" s="231"/>
      <c r="Q5" s="231"/>
      <c r="R5" s="231"/>
      <c r="S5" s="231"/>
      <c r="T5" s="231"/>
      <c r="U5" s="231"/>
      <c r="V5" s="231"/>
      <c r="W5" s="231"/>
      <c r="X5" s="231"/>
      <c r="Y5" s="231"/>
      <c r="Z5" s="231"/>
    </row>
    <row r="6" spans="1:26" s="2" customFormat="1" ht="15" customHeight="1" x14ac:dyDescent="0.25">
      <c r="A6" s="1246" t="s">
        <v>46</v>
      </c>
      <c r="B6" s="1243"/>
      <c r="C6" s="555"/>
      <c r="D6" s="555"/>
      <c r="E6" s="275"/>
      <c r="F6" s="579"/>
      <c r="G6" s="579"/>
      <c r="H6" s="236"/>
      <c r="I6" s="231"/>
      <c r="J6" s="231"/>
      <c r="K6" s="231"/>
      <c r="L6" s="231"/>
      <c r="M6" s="231"/>
      <c r="N6" s="231"/>
      <c r="O6" s="231"/>
      <c r="P6" s="231"/>
      <c r="Q6" s="231"/>
      <c r="R6" s="231"/>
      <c r="S6" s="231"/>
      <c r="T6" s="231"/>
      <c r="U6" s="231"/>
      <c r="V6" s="231"/>
      <c r="W6" s="231"/>
      <c r="X6" s="231"/>
      <c r="Y6" s="231"/>
      <c r="Z6" s="231"/>
    </row>
    <row r="7" spans="1:26" s="2" customFormat="1" x14ac:dyDescent="0.25">
      <c r="A7" s="1247" t="s">
        <v>41</v>
      </c>
      <c r="B7" s="1242" t="str">
        <f>'Y1'!M8</f>
        <v>enter GCO # in this cell on Y1 tab</v>
      </c>
      <c r="C7" s="555"/>
      <c r="D7" s="555"/>
      <c r="E7" s="275"/>
      <c r="F7" s="579"/>
      <c r="G7" s="579"/>
      <c r="H7" s="555"/>
      <c r="I7" s="555"/>
      <c r="J7" s="555"/>
      <c r="K7" s="231"/>
      <c r="L7" s="231"/>
      <c r="M7" s="231"/>
      <c r="N7" s="231"/>
      <c r="O7" s="231"/>
      <c r="P7" s="231"/>
      <c r="Q7" s="231"/>
      <c r="R7" s="231"/>
      <c r="S7" s="231"/>
      <c r="T7" s="231"/>
      <c r="U7" s="231"/>
      <c r="V7" s="231"/>
      <c r="W7" s="231"/>
      <c r="X7" s="231"/>
      <c r="Y7" s="231"/>
      <c r="Z7" s="231"/>
    </row>
    <row r="8" spans="1:26" s="2" customFormat="1" x14ac:dyDescent="0.25">
      <c r="A8" s="1247" t="s">
        <v>42</v>
      </c>
      <c r="B8" s="1242" t="str">
        <f>'Y1'!M9</f>
        <v>enter fund # in this cell on Y1 tab</v>
      </c>
      <c r="C8" s="555"/>
      <c r="D8" s="555"/>
      <c r="E8" s="555"/>
      <c r="F8" s="555"/>
      <c r="G8" s="555"/>
      <c r="H8" s="555"/>
      <c r="I8" s="555"/>
      <c r="J8" s="555"/>
      <c r="K8" s="231"/>
      <c r="L8" s="231"/>
      <c r="M8" s="231"/>
      <c r="N8" s="231"/>
      <c r="O8" s="231"/>
      <c r="P8" s="231"/>
      <c r="Q8" s="231"/>
      <c r="R8" s="231"/>
      <c r="S8" s="231"/>
      <c r="T8" s="231"/>
      <c r="U8" s="231"/>
      <c r="V8" s="231"/>
      <c r="W8" s="231"/>
      <c r="X8" s="231"/>
      <c r="Y8" s="231"/>
      <c r="Z8" s="231"/>
    </row>
    <row r="9" spans="1:26" s="2" customFormat="1" x14ac:dyDescent="0.25">
      <c r="A9" s="1248" t="s">
        <v>43</v>
      </c>
      <c r="B9" s="1244" t="str">
        <f>'Y1'!M10</f>
        <v>enter agency # in this cell on Y1 tab</v>
      </c>
      <c r="C9" s="570"/>
      <c r="D9" s="591"/>
      <c r="E9" s="570"/>
      <c r="F9" s="570"/>
      <c r="G9" s="570"/>
      <c r="H9" s="570"/>
      <c r="I9" s="570"/>
      <c r="J9" s="275"/>
      <c r="K9" s="231"/>
      <c r="L9" s="231"/>
      <c r="M9" s="231"/>
      <c r="N9" s="231"/>
      <c r="O9" s="231"/>
      <c r="P9" s="231"/>
      <c r="Q9" s="231"/>
      <c r="R9" s="231"/>
      <c r="S9" s="231"/>
      <c r="T9" s="231"/>
      <c r="U9" s="231"/>
      <c r="V9" s="231"/>
      <c r="W9" s="231"/>
      <c r="X9" s="231"/>
      <c r="Y9" s="231"/>
      <c r="Z9" s="231"/>
    </row>
    <row r="10" spans="1:26" s="2" customFormat="1" x14ac:dyDescent="0.25">
      <c r="A10" s="231"/>
      <c r="C10" s="61"/>
      <c r="D10" s="61"/>
      <c r="E10" s="61"/>
      <c r="F10" s="61"/>
      <c r="G10" s="61"/>
      <c r="H10" s="231"/>
      <c r="I10" s="231"/>
      <c r="J10" s="231"/>
      <c r="K10" s="231"/>
      <c r="L10" s="231"/>
      <c r="M10" s="231"/>
      <c r="N10" s="231"/>
      <c r="O10" s="231"/>
      <c r="P10" s="231"/>
      <c r="Q10" s="231"/>
      <c r="R10" s="231"/>
      <c r="S10" s="231"/>
      <c r="T10" s="231"/>
      <c r="U10" s="231"/>
      <c r="V10" s="231"/>
      <c r="W10" s="231"/>
      <c r="X10" s="231"/>
      <c r="Y10" s="231"/>
      <c r="Z10" s="231"/>
    </row>
    <row r="11" spans="1:26" x14ac:dyDescent="0.25">
      <c r="A11" s="526"/>
      <c r="B11" s="1266" t="s">
        <v>0</v>
      </c>
      <c r="C11" s="1266" t="s">
        <v>1</v>
      </c>
      <c r="D11" s="1266" t="s">
        <v>2</v>
      </c>
      <c r="E11" s="1266" t="s">
        <v>3</v>
      </c>
      <c r="F11" s="1266" t="s">
        <v>11</v>
      </c>
      <c r="G11" s="1266" t="s">
        <v>17</v>
      </c>
      <c r="H11" s="571"/>
      <c r="K11" s="572"/>
      <c r="L11" s="572"/>
      <c r="M11" s="572"/>
      <c r="N11" s="571"/>
      <c r="O11" s="571"/>
      <c r="P11" s="571"/>
      <c r="Q11" s="571"/>
      <c r="R11" s="571"/>
      <c r="S11" s="571"/>
      <c r="T11" s="571"/>
    </row>
    <row r="12" spans="1:26" x14ac:dyDescent="0.25">
      <c r="A12" s="527"/>
      <c r="B12" s="12"/>
      <c r="C12" s="12"/>
      <c r="D12" s="12"/>
      <c r="E12" s="12"/>
      <c r="F12" s="12"/>
      <c r="G12" s="12"/>
      <c r="H12" s="571"/>
      <c r="K12" s="572"/>
      <c r="L12" s="572"/>
      <c r="M12" s="572"/>
      <c r="N12" s="571"/>
      <c r="O12" s="571"/>
      <c r="P12" s="571"/>
      <c r="Q12" s="571"/>
      <c r="R12" s="571"/>
      <c r="S12" s="571"/>
      <c r="T12" s="571"/>
    </row>
    <row r="13" spans="1:26" x14ac:dyDescent="0.25">
      <c r="A13" s="1265" t="s">
        <v>28</v>
      </c>
      <c r="B13" s="55"/>
      <c r="C13" s="55"/>
      <c r="D13" s="55"/>
      <c r="E13" s="55"/>
      <c r="F13" s="55"/>
      <c r="G13" s="55"/>
      <c r="H13" s="571"/>
      <c r="L13" s="572"/>
      <c r="M13" s="572"/>
      <c r="N13" s="571"/>
      <c r="O13" s="571"/>
      <c r="P13" s="571"/>
      <c r="Q13" s="571"/>
      <c r="R13" s="571"/>
      <c r="S13" s="571"/>
      <c r="T13" s="571"/>
    </row>
    <row r="14" spans="1:26" x14ac:dyDescent="0.25">
      <c r="A14" s="1249" t="s">
        <v>31</v>
      </c>
      <c r="B14" s="969">
        <f>'Y1'!O26</f>
        <v>0</v>
      </c>
      <c r="C14" s="969">
        <f>IF(AND($B$56&gt;1,$E$58="Yes"),$B$14,IF(AND($B$56&gt;1, $E$58="No"),'Y2'!$N$26,IF(AND($B$56&gt;1, $E$58="Yes, except for equipment in Year 1."), $B$14, " ")))</f>
        <v>0</v>
      </c>
      <c r="D14" s="969">
        <f>IF(AND($B$56&gt;2,$E$58="Yes"),$B$14,IF(AND($B$56&gt;2, $E$58="No"),'Y3'!$N$26,IF(AND($B$56&gt;2, $E$58="Yes, except for equipment in Year 1."), $B$14, " ")))</f>
        <v>0</v>
      </c>
      <c r="E14" s="969">
        <f>IF(AND($B$56&gt;3,$E$58="Yes"),$B$14,IF(AND($B$56&gt;3, $E$58="No"),'Y4'!$N$26,IF(AND($B$56&gt;3, $E$58="Yes, except for equipment in Year 1."), $B$14, " ")))</f>
        <v>0</v>
      </c>
      <c r="F14" s="969">
        <f>IF(AND($B$56&gt;4,$E$58="Yes"),$B$14,IF(AND($B$56&gt;4, $E$58="No"),'Y5'!$N$26,IF(AND($B$56&gt;4, $E$58="Yes, except for equipment in Year 1."), $B$14, " ")))</f>
        <v>0</v>
      </c>
      <c r="G14" s="969">
        <f t="shared" ref="G14:G23" si="0">SUM(B14:F14)</f>
        <v>0</v>
      </c>
      <c r="H14" s="571" t="s">
        <v>399</v>
      </c>
      <c r="L14" s="572"/>
      <c r="M14" s="572"/>
      <c r="N14" s="571"/>
      <c r="O14" s="571"/>
      <c r="P14" s="571"/>
      <c r="Q14" s="571"/>
      <c r="R14" s="571"/>
      <c r="S14" s="571"/>
      <c r="T14" s="571"/>
    </row>
    <row r="15" spans="1:26" x14ac:dyDescent="0.25">
      <c r="A15" s="1249" t="s">
        <v>290</v>
      </c>
      <c r="B15" s="969">
        <f>'Y1'!O31</f>
        <v>0</v>
      </c>
      <c r="C15" s="969">
        <f>IF(AND($B$56&gt;1,$E$58="Yes"),$B$15,IF(AND($B$56&gt;1, $E$58="No"),'Y2'!$N$31,IF(AND($B$56&gt;1, $E$58="Yes, except for equipment in Year 1."), 0, " ")))</f>
        <v>0</v>
      </c>
      <c r="D15" s="969">
        <f>IF(AND($B$56&gt;2,$E$58="Yes"),$B$15,IF(AND($B$56&gt;2, $E$58="No"),'Y3'!$N$31,IF(AND($B$56&gt;2, $E$58="Yes, except for equipment in Year 1."), 0, " ")))</f>
        <v>0</v>
      </c>
      <c r="E15" s="969">
        <f>IF(AND($B$56&gt;3,$E$58="Yes"),$B$15,IF(AND($B$56&gt;3, $E$58="No"),'Y4'!$N$31,IF(AND($B$56&gt;3, $E$58="Yes, except for equipment in Year 1."), 0, " ")))</f>
        <v>0</v>
      </c>
      <c r="F15" s="969">
        <f>IF(AND($B$56&gt;4,$E$58="Yes"),$B$15,IF(AND($B$56&gt;4, $E$58="No"),'Y5'!$N$31,IF(AND($B$56&gt;4, $E$58="Yes, except for equipment in Year 1."), 0, " ")))</f>
        <v>0</v>
      </c>
      <c r="G15" s="969">
        <f t="shared" si="0"/>
        <v>0</v>
      </c>
      <c r="H15" s="571" t="s">
        <v>400</v>
      </c>
      <c r="K15" s="572"/>
      <c r="L15" s="572"/>
      <c r="M15" s="572"/>
      <c r="N15" s="571"/>
      <c r="O15" s="571"/>
      <c r="P15" s="571"/>
      <c r="Q15" s="571"/>
      <c r="R15" s="571"/>
      <c r="S15" s="571"/>
      <c r="T15" s="571"/>
    </row>
    <row r="16" spans="1:26" x14ac:dyDescent="0.25">
      <c r="A16" s="1249" t="s">
        <v>32</v>
      </c>
      <c r="B16" s="969">
        <f>'Y1'!O36</f>
        <v>0</v>
      </c>
      <c r="C16" s="969">
        <f>IF(AND($B$56&gt;1,$E$58="Yes"),$B$16,IF(AND($B$56&gt;1, $E$58="No"),'Y2'!$N$36,IF(AND($B$56&gt;1, $E$58="Yes, except for equipment in Year 1."), $B$16, " ")))</f>
        <v>0</v>
      </c>
      <c r="D16" s="969">
        <f>IF(AND($B$56&gt;2,$E$58="Yes"),$B$16,IF(AND($B$56&gt;2, $E$58="No"),'Y3'!$N$36,IF(AND($B$56&gt;2, $E$58="Yes, except for equipment in Year 1."), $B$16, " ")))</f>
        <v>0</v>
      </c>
      <c r="E16" s="969">
        <f>IF(AND($B$56&gt;3,$E$58="Yes"),$B$16,IF(AND($B$56&gt;3, $E$58="No"),'Y4'!$N$36,IF(AND($B$56&gt;3, $E$58="Yes, except for equipment in Year 1."), $B$16, " ")))</f>
        <v>0</v>
      </c>
      <c r="F16" s="969">
        <f>IF(AND($B$56&gt;4,$E$58="Yes"),$B$16,IF(AND($B$56&gt;4, $E$58="No"),'Y5'!$N$36,IF(AND($B$56&gt;4, $E$58="Yes, except for equipment in Year 1."), $B$16, " ")))</f>
        <v>0</v>
      </c>
      <c r="G16" s="969">
        <f t="shared" si="0"/>
        <v>0</v>
      </c>
      <c r="H16" s="571" t="s">
        <v>387</v>
      </c>
      <c r="K16" s="572"/>
      <c r="L16" s="572"/>
      <c r="M16" s="572"/>
      <c r="N16" s="571"/>
      <c r="O16" s="571"/>
      <c r="P16" s="571"/>
      <c r="Q16" s="571"/>
      <c r="R16" s="571"/>
      <c r="S16" s="571"/>
      <c r="T16" s="571"/>
    </row>
    <row r="17" spans="1:26" x14ac:dyDescent="0.25">
      <c r="A17" s="1249" t="s">
        <v>33</v>
      </c>
      <c r="B17" s="969">
        <f>'Y1'!O42</f>
        <v>0</v>
      </c>
      <c r="C17" s="969">
        <f>IF(AND($B$56&gt;1,$E$58="Yes"),$B$17,IF(AND($B$56&gt;1, $E$58="No"),'Y2'!$N$42,IF(AND($B$56&gt;1, $E$58="Yes, except for equipment in Year 1."), $B$17, " ")))</f>
        <v>0</v>
      </c>
      <c r="D17" s="969">
        <f>IF(AND($B$56&gt;2,$E$58="Yes"),$B$17,IF(AND($B$56&gt;2, $E$58="No"),'Y3'!$N$42,IF(AND($B$56&gt;2, $E$58="Yes, except for equipment in Year 1."), $B$17, " ")))</f>
        <v>0</v>
      </c>
      <c r="E17" s="969">
        <f>IF(AND($B$56&gt;3,$E$58="Yes"),$B$17,IF(AND($B$56&gt;3, $E$58="No"),'Y4'!$N$42,IF(AND($B$56&gt;3, $E$58="Yes, except for equipment in Year 1."), $B$17, " ")))</f>
        <v>0</v>
      </c>
      <c r="F17" s="969">
        <f>IF(AND($B$56&gt;4,$E$58="Yes"),$B$17,IF(AND($B$56&gt;4, $E$58="No"),'Y5'!$N$42,IF(AND($B$56&gt;4, $E$58="Yes, except for equipment in Year 1."), $B$17, " ")))</f>
        <v>0</v>
      </c>
      <c r="G17" s="969">
        <f t="shared" si="0"/>
        <v>0</v>
      </c>
      <c r="H17" s="571" t="s">
        <v>388</v>
      </c>
      <c r="K17" s="572"/>
      <c r="L17" s="572"/>
      <c r="M17" s="572"/>
      <c r="N17" s="571"/>
      <c r="O17" s="571"/>
      <c r="P17" s="571"/>
      <c r="Q17" s="571"/>
      <c r="R17" s="571"/>
      <c r="S17" s="571"/>
      <c r="T17" s="571"/>
    </row>
    <row r="18" spans="1:26" x14ac:dyDescent="0.25">
      <c r="A18" s="1249" t="s">
        <v>34</v>
      </c>
      <c r="B18" s="969">
        <f>'Y1'!O46</f>
        <v>0</v>
      </c>
      <c r="C18" s="969">
        <f>IF(AND($B$56&gt;1,$E$58="Yes"),$B$18,IF(AND($B$56&gt;1, $E$58="No"),'Y2'!$N$46,IF(AND($B$56&gt;1, $E$58="Yes, except for equipment in Year 1."), $B$18, " ")))</f>
        <v>0</v>
      </c>
      <c r="D18" s="969">
        <f>IF(AND($B$56&gt;2,$E$58="Yes"),$B$18,IF(AND($B$56&gt;2, $E$58="No"),'Y3'!$N$46,IF(AND($B$56&gt;2, $E$58="Yes, except for equipment in Year 1."), $B$18, " ")))</f>
        <v>0</v>
      </c>
      <c r="E18" s="969">
        <f>IF(AND($B$56&gt;3,$E$58="Yes"),$B$18,IF(AND($B$56&gt;3, $E$58="No"),'Y4'!$N$46,IF(AND($B$56&gt;3, $E$58="Yes, except for equipment in Year 1."), $B$18, " ")))</f>
        <v>0</v>
      </c>
      <c r="F18" s="969">
        <f>IF(AND($B$56&gt;4,$E$58="Yes"),$B$18,IF(AND($B$56&gt;4, $E$58="No"),'Y5'!$N$46,IF(AND($B$56&gt;4, $E$58="Yes, except for equipment in Year 1."), $B$18, " ")))</f>
        <v>0</v>
      </c>
      <c r="G18" s="969">
        <f t="shared" si="0"/>
        <v>0</v>
      </c>
      <c r="H18" s="571" t="s">
        <v>389</v>
      </c>
      <c r="K18" s="572"/>
      <c r="L18" s="572"/>
      <c r="M18" s="572"/>
      <c r="N18" s="571"/>
      <c r="O18" s="571"/>
      <c r="P18" s="571"/>
      <c r="Q18" s="571"/>
      <c r="R18" s="571"/>
      <c r="S18" s="571"/>
      <c r="T18" s="571"/>
    </row>
    <row r="19" spans="1:26" s="7" customFormat="1" x14ac:dyDescent="0.25">
      <c r="A19" s="37" t="s">
        <v>53</v>
      </c>
      <c r="B19" s="969">
        <f>'Y1'!O51</f>
        <v>0</v>
      </c>
      <c r="C19" s="969">
        <f>IF(AND($B$56&gt;1,$E$58="Yes"),$B$19,IF(AND($B$56&gt;1, $E$58="No"),'Y2'!$N$51,IF(AND($B$56&gt;1, $E$58="Yes, except for equipment in Year 1."), $B$19, " ")))</f>
        <v>0</v>
      </c>
      <c r="D19" s="969">
        <f>IF(AND($B$56&gt;2,$E$58="Yes"),$B$19,IF(AND($B$56&gt;2, $E$58="No"),'Y3'!$N$51,IF(AND($B$56&gt;2, $E$58="Yes, except for equipment in Year 1."), $B$19, " ")))</f>
        <v>0</v>
      </c>
      <c r="E19" s="969">
        <f>IF(AND($B$56&gt;3,$E$58="Yes"),$B$19,IF(AND($B$56&gt;3, $E$58="No"),'Y4'!$N$51,IF(AND($B$56&gt;3, $E$58="Yes, except for equipment in Year 1."), $B$19, " ")))</f>
        <v>0</v>
      </c>
      <c r="F19" s="969">
        <f>IF(AND($B$56&gt;4,$E$58="Yes"),$B$19,IF(AND($B$56&gt;4, $E$58="No"),'Y5'!$N$51,IF(AND($B$56&gt;4, $E$58="Yes, except for equipment in Year 1."), $B$19, " ")))</f>
        <v>0</v>
      </c>
      <c r="G19" s="969">
        <f t="shared" si="0"/>
        <v>0</v>
      </c>
      <c r="H19" s="571" t="s">
        <v>390</v>
      </c>
      <c r="I19" s="569"/>
      <c r="J19" s="569"/>
      <c r="K19" s="572"/>
      <c r="L19" s="572"/>
      <c r="M19" s="572"/>
      <c r="N19" s="571"/>
      <c r="O19" s="571"/>
      <c r="P19" s="571"/>
      <c r="Q19" s="571"/>
      <c r="R19" s="571"/>
      <c r="S19" s="571"/>
      <c r="T19" s="571"/>
      <c r="U19" s="569"/>
      <c r="V19" s="569"/>
      <c r="W19" s="569"/>
      <c r="X19" s="569"/>
      <c r="Y19" s="569"/>
      <c r="Z19" s="569"/>
    </row>
    <row r="20" spans="1:26" s="7" customFormat="1" x14ac:dyDescent="0.25">
      <c r="A20" s="1250" t="s">
        <v>288</v>
      </c>
      <c r="B20" s="969">
        <f>'Y1'!M59</f>
        <v>0</v>
      </c>
      <c r="C20" s="969">
        <f>IF(AND($B$56&gt;1,$E$58="Yes"),$B$20,IF(AND($B$56&gt;1, $E$58="No"),'Y2'!$L$59,IF(AND($B$56&gt;1, $E$58="Yes, except for equipment in Year 1."), $B$20, " ")))</f>
        <v>0</v>
      </c>
      <c r="D20" s="969">
        <f>IF(AND($B$56&gt;2,$E$58="Yes"),$B$20,IF(AND($B$56&gt;2, $E$58="No"),'Y3'!$L$59,IF(AND($B$56&gt;2, $E$58="Yes, except for equipment in Year 1."), $B$20, " ")))</f>
        <v>0</v>
      </c>
      <c r="E20" s="969">
        <f>IF(AND($B$56&gt;3,$E$58="Yes"),$B$20,IF(AND($B$56&gt;3, $E$58="No"),'Y4'!$L$59,IF(AND($B$56&gt;3, $E$58="Yes, except for equipment in Year 1."), $B$20, " ")))</f>
        <v>0</v>
      </c>
      <c r="F20" s="969">
        <f>IF(AND($B$56&gt;4,$E$58="Yes"),$B$20,IF(AND($B$56&gt;4, $E$58="No"),'Y5'!$L$59,IF(AND($B$56&gt;4, $E$58="Yes, except for equipment in Year 1."), $B$20, " ")))</f>
        <v>0</v>
      </c>
      <c r="G20" s="969">
        <f t="shared" si="0"/>
        <v>0</v>
      </c>
      <c r="H20" s="571" t="s">
        <v>391</v>
      </c>
      <c r="I20" s="569"/>
      <c r="J20" s="569"/>
      <c r="K20" s="572"/>
      <c r="L20" s="572"/>
      <c r="M20" s="572"/>
      <c r="N20" s="571"/>
      <c r="O20" s="571"/>
      <c r="P20" s="571"/>
      <c r="Q20" s="571"/>
      <c r="R20" s="571"/>
      <c r="S20" s="571"/>
      <c r="T20" s="571"/>
      <c r="U20" s="569"/>
      <c r="V20" s="569"/>
      <c r="W20" s="569"/>
      <c r="X20" s="569"/>
      <c r="Y20" s="569"/>
      <c r="Z20" s="569"/>
    </row>
    <row r="21" spans="1:26" s="7" customFormat="1" x14ac:dyDescent="0.25">
      <c r="A21" s="1250" t="s">
        <v>97</v>
      </c>
      <c r="B21" s="969">
        <f>'Y1'!N59</f>
        <v>0</v>
      </c>
      <c r="C21" s="969">
        <f>IF(AND($B$56&gt;1,$E$58="Yes"),$B$21,IF(AND($B$56&gt;1, $E$58="No"),'Y2'!$M$59,IF(AND($B$56&gt;1, $E$58="Yes, except for equipment in Year 1."), $B$21, " ")))</f>
        <v>0</v>
      </c>
      <c r="D21" s="969">
        <f>IF(AND($B$56&gt;2,$E$58="Yes"),$B$21,IF(AND($B$56&gt;2, $E$58="No"),'Y3'!$M$59,IF(AND($B$56&gt;2, $E$58="Yes, except for equipment in Year 1."), $B$21, " ")))</f>
        <v>0</v>
      </c>
      <c r="E21" s="969">
        <f>IF(AND($B$56&gt;3,$E$58="Yes"),$B$21,IF(AND($B$56&gt;3, $E$58="No"),'Y4'!$M$59,IF(AND($B$56&gt;3, $E$58="Yes, except for equipment in Year 1."), $B$21, " ")))</f>
        <v>0</v>
      </c>
      <c r="F21" s="969">
        <f>IF(AND($B$56&gt;4,$E$58="Yes"),$B$21,IF(AND($B$56&gt;4, $E$58="No"),'Y5'!$M$59,IF(AND($B$56&gt;4, $E$58="Yes, except for equipment in Year 1."), $B$21, " ")))</f>
        <v>0</v>
      </c>
      <c r="G21" s="969">
        <f t="shared" si="0"/>
        <v>0</v>
      </c>
      <c r="H21" s="571" t="s">
        <v>392</v>
      </c>
      <c r="I21" s="569"/>
      <c r="J21" s="569"/>
      <c r="K21" s="572"/>
      <c r="L21" s="572"/>
      <c r="M21" s="572"/>
      <c r="N21" s="571"/>
      <c r="O21" s="571"/>
      <c r="P21" s="571"/>
      <c r="Q21" s="571"/>
      <c r="R21" s="571"/>
      <c r="S21" s="571"/>
      <c r="T21" s="571"/>
      <c r="U21" s="569"/>
      <c r="V21" s="569"/>
      <c r="W21" s="569"/>
      <c r="X21" s="569"/>
      <c r="Y21" s="569"/>
      <c r="Z21" s="569"/>
    </row>
    <row r="22" spans="1:26" x14ac:dyDescent="0.25">
      <c r="A22" s="1249" t="s">
        <v>67</v>
      </c>
      <c r="B22" s="969">
        <f>'Y1'!O74</f>
        <v>0</v>
      </c>
      <c r="C22" s="970">
        <f>IF(AND($B$56&gt;1,$E$58="Yes"),$B$22,IF(AND($B$56&gt;1, $E$58="No"),'Y2'!$N$74,IF(AND($B$56&gt;1, $E$58="Yes, except for equipment in Year 1."), $B$22, " ")))</f>
        <v>0</v>
      </c>
      <c r="D22" s="970">
        <f>IF(AND($B$56&gt;2,$E$58="Yes"),$B$22,IF(AND($B$56&gt;2, $E$58="No"),'Y3'!$N$74,IF(AND($B$56&gt;2, $E$58="Yes, except for equipment in Year 1."), $B$22, " ")))</f>
        <v>0</v>
      </c>
      <c r="E22" s="970">
        <f>IF(AND($B$56&gt;3,$E$58="Yes"),$B$22,IF(AND($B$56&gt;3, $E$58="No"),'Y4'!$N$74,IF(AND($B$56&gt;3, $E$58="Yes, except for equipment in Year 1."), $B$22, " ")))</f>
        <v>0</v>
      </c>
      <c r="F22" s="970">
        <f>IF(AND($B$56&gt;4,$E$58="Yes"),$B$22,IF(AND($B$56&gt;4, $E$58="No"),'Y5'!$N$74,IF(AND($B$56&gt;4, $E$58="Yes, except for equipment in Year 1."), $B$22, " ")))</f>
        <v>0</v>
      </c>
      <c r="G22" s="970">
        <f t="shared" si="0"/>
        <v>0</v>
      </c>
      <c r="H22" s="571" t="s">
        <v>393</v>
      </c>
      <c r="K22" s="572"/>
      <c r="L22" s="572"/>
      <c r="M22" s="572"/>
      <c r="N22" s="571"/>
      <c r="O22" s="571"/>
      <c r="P22" s="571"/>
      <c r="Q22" s="571"/>
      <c r="R22" s="571"/>
      <c r="S22" s="571"/>
      <c r="T22" s="571"/>
    </row>
    <row r="23" spans="1:26" x14ac:dyDescent="0.25">
      <c r="A23" s="1251" t="s">
        <v>51</v>
      </c>
      <c r="B23" s="971">
        <f>SUM(B14:B22)</f>
        <v>0</v>
      </c>
      <c r="C23" s="972">
        <f>IF(AND($B$56&gt;1,$E$58="Yes"),$B$23,IF(AND($B$56&gt;1, $E$58="No"),SUM(C14:C22),IF(AND($B$56&gt;1, $E$58="Yes, except for equipment in Year 1."), SUM(C14:C22), " ")))</f>
        <v>0</v>
      </c>
      <c r="D23" s="972">
        <f>IF(AND($B$56&gt;2,$E$58="Yes"),$B$23,IF(AND($B$56&gt;2, $E$58="No"),SUM(D14:D22),IF(AND($B$56&gt;2, $E$58="Yes, except for equipment in Year 1."), SUM(D14:D22), " ")))</f>
        <v>0</v>
      </c>
      <c r="E23" s="972">
        <f>IF(AND($B$56&gt;3,$E$58="Yes"),$B$23,IF(AND($B$56&gt;3, $E$58="No"),SUM(E14:E22),IF(AND($B$56&gt;3, $E$58="Yes, except for equipment in Year 1."), SUM(E14:E22), " ")))</f>
        <v>0</v>
      </c>
      <c r="F23" s="972">
        <f>IF(AND($B$56&gt;4,$E$58="Yes"),$B$23,IF(AND($B$56&gt;4, $E$58="No"),SUM(F14:F22),IF(AND($B$56&gt;4, $E$58="Yes, except for equipment in Year 1."), SUM(F14:F22), " ")))</f>
        <v>0</v>
      </c>
      <c r="G23" s="972">
        <f t="shared" si="0"/>
        <v>0</v>
      </c>
      <c r="H23" s="573" t="s">
        <v>394</v>
      </c>
      <c r="I23" s="573"/>
      <c r="J23" s="573"/>
      <c r="K23" s="573"/>
      <c r="L23" s="573"/>
      <c r="M23" s="573"/>
      <c r="N23" s="573"/>
      <c r="O23" s="573"/>
      <c r="P23" s="573"/>
      <c r="Q23" s="573"/>
      <c r="R23" s="573"/>
      <c r="S23" s="573"/>
      <c r="T23" s="573"/>
    </row>
    <row r="24" spans="1:26" x14ac:dyDescent="0.25">
      <c r="A24" s="527"/>
      <c r="B24" s="973"/>
      <c r="C24" s="828"/>
      <c r="D24" s="974"/>
      <c r="E24" s="974"/>
      <c r="F24" s="974"/>
      <c r="G24" s="975"/>
      <c r="H24" s="573"/>
      <c r="I24" s="573"/>
      <c r="J24" s="573"/>
      <c r="K24" s="573"/>
      <c r="L24" s="573"/>
      <c r="M24" s="573"/>
      <c r="N24" s="573"/>
      <c r="O24" s="573"/>
      <c r="P24" s="573"/>
      <c r="Q24" s="573"/>
      <c r="R24" s="573"/>
      <c r="S24" s="573"/>
      <c r="T24" s="573"/>
    </row>
    <row r="25" spans="1:26" x14ac:dyDescent="0.25">
      <c r="A25" s="1252" t="s">
        <v>50</v>
      </c>
      <c r="B25" s="973"/>
      <c r="C25" s="828"/>
      <c r="D25" s="974"/>
      <c r="E25" s="974"/>
      <c r="F25" s="974"/>
      <c r="G25" s="975"/>
      <c r="H25" s="546"/>
      <c r="I25" s="573"/>
      <c r="J25" s="573"/>
      <c r="K25" s="573"/>
      <c r="L25" s="573"/>
      <c r="M25" s="573"/>
      <c r="N25" s="573"/>
      <c r="O25" s="573"/>
      <c r="P25" s="573"/>
      <c r="Q25" s="573"/>
      <c r="R25" s="573"/>
      <c r="S25" s="573"/>
      <c r="T25" s="573"/>
    </row>
    <row r="26" spans="1:26" x14ac:dyDescent="0.25">
      <c r="A26" s="1253" t="s">
        <v>98</v>
      </c>
      <c r="B26" s="976">
        <f>'Y1'!M79</f>
        <v>0</v>
      </c>
      <c r="C26" s="977">
        <f>IF(AND($B$56&gt;1,$E$58="Yes"),$B$26,IF(AND($B$56&gt;1,$E$58="No"),'Y2'!$L$79,IF(AND($B$56&gt;1,$E$58="Yes, except for equipment in Year 1."),$B$26-$B$15," ")))</f>
        <v>0</v>
      </c>
      <c r="D26" s="977">
        <f>IF(AND($B$56&gt;2,$E$58="Yes"),$B$26,IF(AND($B$56&gt;2,$E$58="No"),'Y3'!$L$79,IF(AND($B$56&gt;2,$E$58="Yes, except for equipment in Year 1."),$B$26-$B$15," ")))</f>
        <v>0</v>
      </c>
      <c r="E26" s="977">
        <f>IF(AND($B$56&gt;3,$E$58="Yes"),$B$26,IF(AND($B$56&gt;3,$E$58="No"),'Y4'!$L$79,IF(AND($B$56&gt;3,$E$58="Yes, except for equipment in Year 1."),$B$26-$B$15," ")))</f>
        <v>0</v>
      </c>
      <c r="F26" s="977">
        <f>IF(AND($B$56&gt;4,$E$58="Yes"),$B$26,IF(AND($B$56&gt;4,$E$58="No"),'Y5'!$L$79,IF(AND($B$56&gt;4,$E$58="Yes, except for equipment in Year 1."),$B$26-$B$15," ")))</f>
        <v>0</v>
      </c>
      <c r="G26" s="972">
        <f>SUM(B26:F26)</f>
        <v>0</v>
      </c>
      <c r="H26" s="569" t="s">
        <v>404</v>
      </c>
      <c r="I26" s="573" t="s">
        <v>403</v>
      </c>
      <c r="J26" s="573"/>
      <c r="K26" s="572" t="s">
        <v>401</v>
      </c>
      <c r="L26" s="573"/>
      <c r="M26" s="573"/>
      <c r="N26" s="575"/>
      <c r="O26" s="573"/>
      <c r="P26" s="573"/>
      <c r="Q26" s="573"/>
      <c r="R26" s="573"/>
      <c r="S26" s="573"/>
      <c r="T26" s="573"/>
    </row>
    <row r="27" spans="1:26" x14ac:dyDescent="0.25">
      <c r="A27" s="1253" t="s">
        <v>219</v>
      </c>
      <c r="B27" s="976">
        <f>'Y1'!M80</f>
        <v>0</v>
      </c>
      <c r="C27" s="977">
        <f>IF(AND($B$56&gt;1,$E$58="Yes"),$B$27,IF(AND($B$56&gt;1,$E$58="No"),'Y2'!$L$80,IF(AND($B$56&gt;1,$E$58="Yes, except for equipment in Year 1."),$B$27-$B$15," ")))</f>
        <v>0</v>
      </c>
      <c r="D27" s="977">
        <f>IF(AND($B$56&gt;2,$E$58="Yes"),$B$27,IF(AND($B$56&gt;2,$E$58="No"),'Y3'!$L$80,IF(AND($B$56&gt;2,$E$58="Yes, except for equipment in Year 1."),$B$27-$B$15," ")))</f>
        <v>0</v>
      </c>
      <c r="E27" s="977">
        <f>IF(AND($B$56&gt;3,$E$58="Yes"),$B$27,IF(AND($B$56&gt;3,$E$58="No"),'Y4'!$L$80,IF(AND($B$56&gt;3,$E$58="Yes, except for equipment in Year 1."),$B$27-$B$15," ")))</f>
        <v>0</v>
      </c>
      <c r="F27" s="977">
        <f>IF(AND($B$56&gt;4,$E$58="Yes"),$B$27,IF(AND($B$56&gt;4,$E$58="No"),'Y5'!$L$80,IF(AND($B$56&gt;4,$E$58="Yes, except for equipment in Year 1."),$B$27-$B$15," ")))</f>
        <v>0</v>
      </c>
      <c r="G27" s="972">
        <f>SUM(B27:F27)</f>
        <v>0</v>
      </c>
      <c r="H27" s="574" t="s">
        <v>395</v>
      </c>
      <c r="I27" s="573" t="s">
        <v>396</v>
      </c>
      <c r="J27" s="573"/>
      <c r="K27" s="572" t="s">
        <v>402</v>
      </c>
      <c r="L27" s="573"/>
      <c r="M27" s="573"/>
      <c r="N27" s="573"/>
      <c r="O27" s="573"/>
      <c r="P27" s="573"/>
      <c r="Q27" s="573"/>
      <c r="R27" s="573"/>
      <c r="S27" s="573"/>
      <c r="T27" s="573"/>
    </row>
    <row r="28" spans="1:26" ht="46.5" customHeight="1" x14ac:dyDescent="0.25">
      <c r="A28" s="1254" t="s">
        <v>99</v>
      </c>
      <c r="B28" s="978" t="str">
        <f>IF($B$60="Yes", 'Y1'!$O$81, " ")</f>
        <v xml:space="preserve"> </v>
      </c>
      <c r="C28" s="979" t="str">
        <f>IF(AND($B$56&gt;1,$E$58="Yes"),$B$28,IF(AND($B$56&gt;1,$E$58="No"),'Y2'!$N$81,IF(AND($B$56&gt;1,$E$58="Yes, except for equipment in Year 1."),$B$28," ")))</f>
        <v xml:space="preserve"> </v>
      </c>
      <c r="D28" s="979" t="str">
        <f>IF(AND($B$56&gt;2,$E$58="Yes"),$B$28,IF(AND($B$56&gt;2,$E$58="No"),'Y3'!$N$81,IF(AND($B$56&gt;2,$E$58="Yes, except for equipment in Year 1."),$B$28," ")))</f>
        <v xml:space="preserve"> </v>
      </c>
      <c r="E28" s="979" t="str">
        <f>IF(AND($B$56&gt;3,$E$58="Yes"),$B$28,IF(AND($B$56&gt;3,$E$58="No"),'Y3'!$N$81,IF(AND($B$56&gt;3,$E$58="Yes, except for equipment in Year 1."),$B$28," ")))</f>
        <v xml:space="preserve"> </v>
      </c>
      <c r="F28" s="979" t="str">
        <f>IF(AND($B$56&gt;4,$E$58="Yes"),$B$28,IF(AND($B$56&gt;4,$E$58="No"),'Y5'!$N$81,IF(AND($B$56&gt;4,$E$58="Yes, except for equipment in Year 1."),$B$28," ")))</f>
        <v xml:space="preserve"> </v>
      </c>
      <c r="G28" s="972">
        <f>SUM(B28:F28)</f>
        <v>0</v>
      </c>
      <c r="H28" s="574" t="s">
        <v>398</v>
      </c>
      <c r="I28" s="573" t="s">
        <v>397</v>
      </c>
      <c r="J28" s="573"/>
      <c r="K28" s="573"/>
      <c r="L28" s="573"/>
      <c r="M28" s="573"/>
      <c r="N28" s="573"/>
      <c r="O28" s="573"/>
      <c r="P28" s="573"/>
      <c r="Q28" s="573"/>
      <c r="R28" s="573"/>
      <c r="S28" s="573"/>
      <c r="T28" s="573"/>
    </row>
    <row r="29" spans="1:26" x14ac:dyDescent="0.25">
      <c r="A29" s="533"/>
      <c r="B29" s="973"/>
      <c r="C29" s="980"/>
      <c r="D29" s="980"/>
      <c r="E29" s="980"/>
      <c r="F29" s="980"/>
      <c r="G29" s="975"/>
      <c r="H29" s="573"/>
      <c r="I29" s="573"/>
      <c r="J29" s="573"/>
      <c r="K29" s="573"/>
      <c r="L29" s="573"/>
      <c r="M29" s="573"/>
      <c r="N29" s="573"/>
      <c r="O29" s="573"/>
      <c r="P29" s="573"/>
      <c r="Q29" s="573"/>
      <c r="R29" s="573"/>
      <c r="S29" s="573"/>
      <c r="T29" s="573"/>
    </row>
    <row r="30" spans="1:26" x14ac:dyDescent="0.25">
      <c r="A30" s="1253" t="s">
        <v>24</v>
      </c>
      <c r="B30" s="981">
        <f xml:space="preserve"> IF($B$64="Yes", 'Y1'!$L$93, 'Y1'!$B$97)</f>
        <v>0</v>
      </c>
      <c r="C30" s="981">
        <f>IF(AND($B$56&gt;1,$E$58="Yes"),$B$30-$B$71-$B$80+$I$80,IF(AND($B$56&gt;1,$E$58="Yes, except for equipment in Year 1.",$B$60="Yes"),$B$30-$B$71-$B$80+$I$80+$B$15,IF(AND($B$56&gt;1,$E$58="Yes, except for equipment in Year 1.",$B$60="No"),$B$30-$B$71-$B$80+$I$80,IF(AND($B$56&gt;1,$E$58="No", C$64="Yes"),'Y2'!$K$92,IF(AND($B$56&gt;1,$E$58="No", C64="No"),'Y2'!$B$96," ")))))</f>
        <v>0</v>
      </c>
      <c r="D30" s="981">
        <f>IF(AND($B$56&gt;2,$E$58="Yes"),$B$30-$B$71-$B$80+$I$80-$L$81,IF(AND($B$56&gt;2,$E$58="Yes, except for equipment in Year 1.",$B$60="Yes"),$B$30-$B$71-$B$80+$I$80-$L$81+$B$15,IF(AND($B$56&gt;2,$E$58="Yes, except for equipment in Year 1.",$B$60="No"),$B$30-$B$71-$B$80+$I$80-$L$81,IF(AND($B$56&gt;2,$E$58="No", D$64="Yes"),'Y3'!$K$92,IF(AND($B$56&gt;2,$E$58="No", $D64="No"),'Y3'!$B$96," ")))))</f>
        <v>0</v>
      </c>
      <c r="E30" s="981">
        <f>IF(AND($B$56&gt;3,$E$58="Yes"),$B$30-$B$71-$B$80+$I$80-$L$81-$O$81,IF(AND($B$56&gt;3,$E$58="Yes, except for equipment in Year 1.",$B$60="Yes"),$B$30-$B$71-$B$80+$I$80-$L$81-$O$81+$B$15,IF(AND($B$56&gt;3,$E$58="Yes, except for equipment in Year 1.",$B$60="No"),$B$30-$B$71-$B$80+$I$80-$L$81-$O$81,IF(AND($B$56&gt;3,$E$58="No", E$64="Yes"),'Y4'!$K$92,IF(AND($B$56&gt;3,$E$58="No", E64="No"),'Y4'!$B$96," ")))))</f>
        <v>0</v>
      </c>
      <c r="F30" s="981">
        <f>IF(AND($B$56&gt;4,$E$58="Yes"),$B$30-$B$71-$B$80+$I$80-$L$81-$O$81-$R$81,IF(AND($B$56&gt;4,$E$58="Yes, except for equipment in Year 1.",$B$60="Yes"),$B$30-$B$71-$B$80+$I$80-$L$81-$O$81-$R$81+$B$15,IF(AND($B$56&gt;4,$E$58="Yes, except for equipment in Year 1.",$B$60="No"),$B$30-$B$71-$B$80+$I$80-$L$81-$O$81-$R$81,IF(AND($B$56&gt;4,$E$58="No", F$64="Yes"),'Y5'!$K$92,IF(AND($B$56&gt;4,$E$58="No", F$64="No"),'Y5'!$B$96," ")))))</f>
        <v>0</v>
      </c>
      <c r="G30" s="969">
        <f>SUM(B30:F30)</f>
        <v>0</v>
      </c>
      <c r="H30" s="574"/>
      <c r="I30" s="573" t="s">
        <v>407</v>
      </c>
      <c r="J30" s="573"/>
      <c r="K30" s="573"/>
      <c r="L30" s="573"/>
      <c r="M30" s="573"/>
      <c r="N30" s="573"/>
      <c r="O30" s="573"/>
      <c r="P30" s="573"/>
      <c r="Q30" s="573"/>
      <c r="R30" s="573"/>
      <c r="S30" s="573"/>
      <c r="T30" s="573"/>
    </row>
    <row r="31" spans="1:26" x14ac:dyDescent="0.25">
      <c r="A31" s="1254" t="s">
        <v>52</v>
      </c>
      <c r="B31" s="982">
        <f xml:space="preserve"> IF($B$64="Yes", 'Y1'!$D$93, 'Y1'!$K$97)</f>
        <v>0.69</v>
      </c>
      <c r="C31" s="982">
        <f>IF(AND($B$56&gt;1,$E$58="Yes"),$B$31,IF(AND($B$56&gt;1,$E$58="Yes, except for equipment in Year 1."),$B$31,IF(AND($B$56&gt;1,$E$58="No",C$64="Yes"),'Y2'!$G$92,IF(AND($B$56&gt;1,$E$58="No",$C64="No"),'Y2'!$H$96," "))))</f>
        <v>0.69</v>
      </c>
      <c r="D31" s="982">
        <f>IF(AND($B$56&gt;2,$E$58="Yes"),$B$31,IF(AND($B$56&gt;2,$E$58="Yes, except for equipment in Year 1."),$B$31,IF(AND($B$56&gt;2,$E$58="No",D$64="Yes"),'Y3'!$G$92,IF(AND($B$56&gt;2,$E$58="No",$D64="No"),'Y3'!$H$96," "))))</f>
        <v>0.69</v>
      </c>
      <c r="E31" s="982">
        <f>IF(AND($B$56&gt;3,$E$58="Yes"),$B$31,IF(AND($B$56&gt;3,$E$58="Yes, except for equipment in Year 1."),$B$31,IF(AND($B$56&gt;3,$E$58="No",E$64="Yes"),'Y4'!$F$92,IF(AND($B$56&gt;3,$E$58="No",$E64="No"),'Y4'!$H$96," "))))</f>
        <v>0.69</v>
      </c>
      <c r="F31" s="982">
        <f>IF(AND($B$56&gt;4,$E$58="Yes"),$B$31,IF(AND($B$56&gt;4,$E$58="Yes, except for equipment in Year 1."),$B$31,IF(AND($B$56&gt;4,$E$58="No",F$64="Yes"),'Y5'!$E$92,IF(AND($B$56&gt;4,$E$58="No",F$64="No"),'Y5'!$H$96," "))))</f>
        <v>0.69</v>
      </c>
      <c r="G31" s="983"/>
      <c r="H31" s="574"/>
      <c r="I31" s="573" t="s">
        <v>406</v>
      </c>
      <c r="J31" s="573"/>
      <c r="K31" s="573"/>
      <c r="L31" s="573"/>
      <c r="M31" s="573"/>
      <c r="N31" s="573"/>
      <c r="O31" s="573"/>
      <c r="P31" s="573"/>
      <c r="Q31" s="573"/>
      <c r="R31" s="573"/>
      <c r="S31" s="573"/>
      <c r="T31" s="573"/>
    </row>
    <row r="32" spans="1:26" ht="32.25" customHeight="1" x14ac:dyDescent="0.25">
      <c r="A32" s="1255" t="s">
        <v>100</v>
      </c>
      <c r="B32" s="984">
        <f xml:space="preserve"> IF($B$64="Yes", 'Y1'!M94, 'Y1'!O97)</f>
        <v>0</v>
      </c>
      <c r="C32" s="985">
        <f>IF($B$56&gt;1, C30*C31, " ")</f>
        <v>0</v>
      </c>
      <c r="D32" s="985">
        <f>IF($B$56&gt;2, D30*D31, " ")</f>
        <v>0</v>
      </c>
      <c r="E32" s="985">
        <f>IF($B$56&gt;3, E30*E31, " ")</f>
        <v>0</v>
      </c>
      <c r="F32" s="985">
        <f>IF($B$56&gt;4, F30*F31, " ")</f>
        <v>0</v>
      </c>
      <c r="G32" s="972">
        <f>SUM(B32:F32)</f>
        <v>0</v>
      </c>
      <c r="H32" s="574"/>
      <c r="K32" s="576" t="s">
        <v>408</v>
      </c>
      <c r="L32" s="576"/>
      <c r="M32" s="576"/>
      <c r="N32" s="577"/>
      <c r="O32" s="577"/>
      <c r="P32" s="577"/>
      <c r="Q32" s="577"/>
      <c r="R32" s="577"/>
      <c r="S32" s="577"/>
      <c r="T32" s="577"/>
    </row>
    <row r="33" spans="1:11" x14ac:dyDescent="0.25">
      <c r="A33" s="527"/>
      <c r="B33" s="975"/>
      <c r="C33" s="986"/>
      <c r="D33" s="987"/>
      <c r="E33" s="987"/>
      <c r="F33" s="987"/>
      <c r="G33" s="975"/>
    </row>
    <row r="34" spans="1:11" x14ac:dyDescent="0.25">
      <c r="A34" s="1216" t="s">
        <v>35</v>
      </c>
      <c r="B34" s="988">
        <f>'Y1'!O99</f>
        <v>0</v>
      </c>
      <c r="C34" s="989">
        <f>IF(AND($B$56&gt;1, $B$60="Yes"), C28+C21+C32, IF(AND($B$56&gt;1, $B$60="No"), C23+C32, " "))</f>
        <v>0</v>
      </c>
      <c r="D34" s="989">
        <f>IF(AND($B$56&gt;2, $B$60="Yes"), D28+D21+D32, IF(AND($B$56&gt;2, $B$60="No"), D23+D32, " "))</f>
        <v>0</v>
      </c>
      <c r="E34" s="989">
        <f>IF(AND($B$56&gt;3, $B$60="Yes"), E28+E21+E32, IF(AND($B$56&gt;3, $B$60="No"), E23+E32, " "))</f>
        <v>0</v>
      </c>
      <c r="F34" s="989">
        <f>IF(AND($B$56&gt;4, $B$60="Yes"), F28+F21+F32, IF(AND($B$56&gt;4, $B$60="No"), F23+F32, " "))</f>
        <v>0</v>
      </c>
      <c r="G34" s="988">
        <f>SUM(B34:F34)</f>
        <v>0</v>
      </c>
      <c r="H34" s="574"/>
      <c r="K34" s="545" t="s">
        <v>409</v>
      </c>
    </row>
    <row r="35" spans="1:11" x14ac:dyDescent="0.25">
      <c r="A35" s="527"/>
      <c r="B35" s="547"/>
      <c r="C35" s="548"/>
      <c r="D35" s="549"/>
      <c r="E35" s="547"/>
      <c r="F35" s="547"/>
      <c r="G35" s="547"/>
    </row>
    <row r="36" spans="1:11" x14ac:dyDescent="0.25">
      <c r="A36" s="527"/>
      <c r="B36" s="547"/>
      <c r="C36" s="548"/>
      <c r="D36" s="549"/>
      <c r="E36" s="547"/>
      <c r="F36" s="547"/>
      <c r="G36" s="547"/>
    </row>
    <row r="37" spans="1:11" x14ac:dyDescent="0.25">
      <c r="A37" s="1530" t="s">
        <v>495</v>
      </c>
      <c r="B37" s="1531"/>
      <c r="C37" s="1531"/>
      <c r="D37" s="1531"/>
      <c r="E37" s="1531"/>
      <c r="F37" s="1531"/>
      <c r="G37" s="1532"/>
    </row>
    <row r="38" spans="1:11" ht="13.5" customHeight="1" x14ac:dyDescent="0.25">
      <c r="A38" s="1256" t="s">
        <v>496</v>
      </c>
      <c r="B38" s="945">
        <f>IF($B$60="Yes", B28, B23-B21)</f>
        <v>0</v>
      </c>
      <c r="C38" s="943">
        <f>IF(AND($B$56&gt;1,$E$58="Yes",$B$60="Yes"),$C$28,IF(AND($B$56&gt;1,$E$58="Yes",$B$60="No"),$C$27,IF(AND($B$56&gt;1,$E$58="No",$B$60="Yes"),$C$28,IF(AND($B$56&gt;1,$E$58="No",$B$60="No"),$C$27,IF(AND($B$56&gt;1,$E$58="Yes, except for equipment in Year 1.",$B$60="Yes"),$C$28,IF(AND($B$56&gt;1,$E$58="Yes, except for equipment in Year 1.",$B$60="No"),$C$27," "))
))))</f>
        <v>0</v>
      </c>
      <c r="D38" s="943">
        <f>IF(AND($B$56&gt;2,$E$58="Yes",$B$60="Yes"),$D$28,IF(AND($B$56&gt;2,$E$58="Yes",$B$60="No"),$D$27,IF(AND($B$56&gt;2,$E$58="No",$B$60="Yes"),$D$28,IF(AND($B$56&gt;2,$E$58="No",$B$60="No"),$D$27,IF(AND($B$56&gt;2,$E$58="Yes, except for equipment in Year 1.",$B$60="Yes"),$D$28,IF(AND($B$56&gt;2,$E$58="Yes, except for equipment in Year 1.",$B$60="No"),$D$27," "))
))))</f>
        <v>0</v>
      </c>
      <c r="E38" s="943">
        <f>IF(AND($B$56&gt;3,$E$58="Yes",$B$60="Yes"),$E$28,IF(AND($B$56&gt;3,$E$58="Yes",$B$60="No"),$E$27,IF(AND($B$56&gt;3,$E$58="No",$B$60="Yes"),$E$28,IF(AND($B$56&gt;3,$E$58="No",$B$60="No"),$E$27,IF(AND($B$56&gt;3,$E$58="Yes, except for equipment in Year 1.",$B$60="Yes"),$E$28,IF(AND($B$56&gt;3,$E$58="Yes, except for equipment in Year 1.",$B$60="No"),$E$27," "))
))))</f>
        <v>0</v>
      </c>
      <c r="F38" s="943">
        <f>IF(AND($B$56&gt;4,$E$58="Yes",$B$60="Yes"),$F$28,IF(AND($B$56&gt;4,$E$58="Yes",$B$60="No"),$F$27,IF(AND($B$56&gt;4,$E$58="No",$B$60="Yes"),$F$28,IF(AND($B$56&gt;4,$E$58="No",$B$60="No"),$F$27,IF(AND($B$56&gt;4,$E$58="Yes, except for equipment in Year 1.",$B$60="Yes"),$F$28,IF(AND($B$56&gt;4,$E$58="Yes, except for equipment in Year 1.",$B$60="No"),$F$27," "))
))))</f>
        <v>0</v>
      </c>
      <c r="G38" s="946">
        <f>SUM(B38:F38)</f>
        <v>0</v>
      </c>
    </row>
    <row r="39" spans="1:11" x14ac:dyDescent="0.25">
      <c r="A39" s="1257" t="s">
        <v>492</v>
      </c>
      <c r="B39" s="947">
        <f>B21</f>
        <v>0</v>
      </c>
      <c r="C39" s="943">
        <f>IF($B$56&gt;1, C$21, " ")</f>
        <v>0</v>
      </c>
      <c r="D39" s="943">
        <f>IF($B$56&gt;2, D$21, " ")</f>
        <v>0</v>
      </c>
      <c r="E39" s="943">
        <f>IF($B$56&gt;3, E$21, " ")</f>
        <v>0</v>
      </c>
      <c r="F39" s="943">
        <f>IF($B$56&gt;4, F$21, " ")</f>
        <v>0</v>
      </c>
      <c r="G39" s="946">
        <f>SUM(B39:F39)</f>
        <v>0</v>
      </c>
    </row>
    <row r="40" spans="1:11" x14ac:dyDescent="0.25">
      <c r="A40" s="1257" t="s">
        <v>493</v>
      </c>
      <c r="B40" s="948">
        <f>B32</f>
        <v>0</v>
      </c>
      <c r="C40" s="944">
        <f>IF($B$56&gt;1, C$32, " ")</f>
        <v>0</v>
      </c>
      <c r="D40" s="944">
        <f>IF($B$56&gt;2, D$32, " ")</f>
        <v>0</v>
      </c>
      <c r="E40" s="944">
        <f>IF($B$56&gt;3, E$32, " ")</f>
        <v>0</v>
      </c>
      <c r="F40" s="944">
        <f>IF($B$56&gt;4, F$32, " ")</f>
        <v>0</v>
      </c>
      <c r="G40" s="949">
        <f>SUM(B40:F40)</f>
        <v>0</v>
      </c>
    </row>
    <row r="41" spans="1:11" x14ac:dyDescent="0.25">
      <c r="A41" s="1257" t="s">
        <v>494</v>
      </c>
      <c r="B41" s="945">
        <f>SUM(B38:B40)</f>
        <v>0</v>
      </c>
      <c r="C41" s="950">
        <f>SUM(C38:C40)</f>
        <v>0</v>
      </c>
      <c r="D41" s="950">
        <f t="shared" ref="D41:F41" si="1">SUM(D38:D40)</f>
        <v>0</v>
      </c>
      <c r="E41" s="950">
        <f t="shared" si="1"/>
        <v>0</v>
      </c>
      <c r="F41" s="950">
        <f t="shared" si="1"/>
        <v>0</v>
      </c>
      <c r="G41" s="946">
        <f>SUM(B41:F41)</f>
        <v>0</v>
      </c>
    </row>
    <row r="42" spans="1:11" x14ac:dyDescent="0.25">
      <c r="A42" s="1258"/>
      <c r="B42" s="1259"/>
      <c r="C42" s="1260"/>
      <c r="D42" s="1259"/>
      <c r="E42" s="1259"/>
      <c r="F42" s="1259"/>
      <c r="G42" s="1261"/>
    </row>
    <row r="43" spans="1:11" x14ac:dyDescent="0.25">
      <c r="A43" s="574"/>
      <c r="B43" s="348"/>
      <c r="C43" s="548"/>
      <c r="D43" s="359"/>
      <c r="E43" s="348"/>
      <c r="F43" s="348"/>
      <c r="G43" s="348"/>
    </row>
    <row r="44" spans="1:11" x14ac:dyDescent="0.25">
      <c r="A44" s="574"/>
      <c r="B44" s="348"/>
      <c r="C44" s="548"/>
      <c r="D44" s="359"/>
      <c r="E44" s="348"/>
      <c r="F44" s="348"/>
      <c r="G44" s="348"/>
    </row>
    <row r="45" spans="1:11" x14ac:dyDescent="0.25">
      <c r="A45" s="1262" t="s">
        <v>19</v>
      </c>
      <c r="B45" s="547"/>
      <c r="C45" s="550"/>
      <c r="D45" s="547"/>
      <c r="E45" s="547"/>
      <c r="F45" s="547"/>
      <c r="G45" s="547"/>
    </row>
    <row r="46" spans="1:11" x14ac:dyDescent="0.25">
      <c r="A46" s="1263" t="s">
        <v>291</v>
      </c>
      <c r="B46" s="834">
        <f>B84+B21</f>
        <v>0</v>
      </c>
      <c r="C46" s="544">
        <f>IF(AND($B$56&gt;1,$E$58="Yes"),$B$46,IF(AND($B$56&gt;1, $E$58="No"),C84+C21,IF(AND($B$56&gt;1, $E$58="Yes, except for equipment in Year 1."),$B$46, " ")))</f>
        <v>0</v>
      </c>
      <c r="D46" s="544">
        <f>IF(AND($B$56&gt;2,$E$58="Yes"),$B$46,IF(AND($B$56&gt;2, $E$58="No"),D84+D21,IF(AND($B$56&gt;2, $E$58="Yes, except for equipment in Year 1."),$B$46, " ")))</f>
        <v>0</v>
      </c>
      <c r="E46" s="544">
        <f>IF(AND($B$56&gt;3,$E$58="Yes"),$B$46,IF(AND($B$56&gt;3, $E$58="No"),E84+E21,IF(AND($B$56&gt;3, $E$58="Yes, except for equipment in Year 1."),$B$46, " ")))</f>
        <v>0</v>
      </c>
      <c r="F46" s="544">
        <f>IF(AND($B$56&gt;4,$E$58="Yes"),$B$46,IF(AND($B$56&gt;4, $E$58="No"),F84+F21,IF(AND($B$56&gt;4, $E$58="Yes, except for equipment in Year 1."),$B$46, " ")))</f>
        <v>0</v>
      </c>
      <c r="G46" s="552">
        <f>SUM(B46:F46)</f>
        <v>0</v>
      </c>
      <c r="H46" s="574"/>
      <c r="I46" s="833" t="s">
        <v>410</v>
      </c>
    </row>
    <row r="47" spans="1:11" x14ac:dyDescent="0.25">
      <c r="A47" s="527"/>
      <c r="B47" s="550"/>
      <c r="C47" s="551"/>
      <c r="D47" s="551"/>
      <c r="E47" s="551"/>
      <c r="F47" s="551"/>
      <c r="G47" s="550"/>
      <c r="H47" s="574"/>
    </row>
    <row r="48" spans="1:11" x14ac:dyDescent="0.25">
      <c r="A48" s="527"/>
      <c r="B48" s="553"/>
      <c r="C48" s="553"/>
      <c r="D48" s="553"/>
      <c r="E48" s="553"/>
      <c r="F48" s="553"/>
      <c r="G48" s="553"/>
    </row>
    <row r="49" spans="1:12" x14ac:dyDescent="0.25">
      <c r="A49" s="527"/>
      <c r="B49" s="553"/>
      <c r="C49" s="553"/>
      <c r="D49" s="553"/>
      <c r="E49" s="553"/>
      <c r="F49" s="553"/>
      <c r="G49" s="553"/>
    </row>
    <row r="50" spans="1:12" ht="14.4" x14ac:dyDescent="0.25">
      <c r="A50" s="537"/>
      <c r="B50" s="545"/>
      <c r="C50" s="545"/>
      <c r="D50" s="545"/>
      <c r="E50" s="545"/>
      <c r="F50" s="545"/>
      <c r="G50" s="545"/>
    </row>
    <row r="51" spans="1:12" ht="14.4" x14ac:dyDescent="0.25">
      <c r="A51" s="1264" t="s">
        <v>503</v>
      </c>
      <c r="B51" s="545"/>
      <c r="C51" s="545"/>
      <c r="D51" s="545"/>
      <c r="E51" s="545"/>
      <c r="F51" s="545"/>
      <c r="G51" s="545"/>
    </row>
    <row r="52" spans="1:12" ht="14.4" x14ac:dyDescent="0.25">
      <c r="A52" s="537"/>
      <c r="B52" s="545"/>
      <c r="C52" s="545"/>
      <c r="D52" s="545"/>
      <c r="E52" s="545"/>
      <c r="F52" s="545"/>
      <c r="G52" s="545"/>
    </row>
    <row r="53" spans="1:12" ht="14.4" x14ac:dyDescent="0.25">
      <c r="A53" s="1264"/>
      <c r="B53" s="545"/>
      <c r="C53" s="545"/>
      <c r="D53" s="545"/>
      <c r="E53" s="545"/>
      <c r="F53" s="545"/>
      <c r="G53" s="545"/>
    </row>
    <row r="54" spans="1:12" x14ac:dyDescent="0.25">
      <c r="A54" s="527"/>
      <c r="B54" s="545"/>
      <c r="C54" s="545"/>
      <c r="D54" s="545"/>
      <c r="E54" s="545"/>
      <c r="F54" s="545"/>
      <c r="G54" s="545"/>
    </row>
    <row r="55" spans="1:12" hidden="1" x14ac:dyDescent="0.25">
      <c r="A55" s="538" t="s">
        <v>289</v>
      </c>
      <c r="B55" s="541"/>
      <c r="C55" s="541"/>
      <c r="D55" s="541"/>
      <c r="E55" s="541"/>
      <c r="F55" s="541"/>
      <c r="G55" s="541"/>
      <c r="H55" s="578"/>
    </row>
    <row r="56" spans="1:12" hidden="1" x14ac:dyDescent="0.25">
      <c r="A56" s="539" t="s">
        <v>115</v>
      </c>
      <c r="B56" s="554">
        <f>SetUp!C8</f>
        <v>5</v>
      </c>
      <c r="C56" s="541"/>
      <c r="D56" s="541"/>
      <c r="E56" s="541"/>
      <c r="F56" s="541"/>
      <c r="G56" s="541"/>
      <c r="H56" s="541"/>
    </row>
    <row r="57" spans="1:12" hidden="1" x14ac:dyDescent="0.25">
      <c r="A57" s="476"/>
      <c r="B57" s="555"/>
      <c r="C57" s="556"/>
      <c r="D57" s="556"/>
      <c r="E57" s="556"/>
      <c r="F57" s="556"/>
      <c r="G57" s="556"/>
      <c r="H57" s="556"/>
    </row>
    <row r="58" spans="1:12" hidden="1" x14ac:dyDescent="0.25">
      <c r="A58" s="540" t="s">
        <v>405</v>
      </c>
      <c r="B58" s="541"/>
      <c r="C58" s="541"/>
      <c r="D58" s="541"/>
      <c r="E58" s="1535" t="str">
        <f>SetUp!G11</f>
        <v>Yes</v>
      </c>
      <c r="F58" s="1536"/>
      <c r="G58" s="1537"/>
      <c r="H58" s="578"/>
      <c r="L58" s="892"/>
    </row>
    <row r="59" spans="1:12" hidden="1" x14ac:dyDescent="0.25">
      <c r="A59" s="522"/>
      <c r="B59" s="556"/>
      <c r="C59" s="556"/>
      <c r="D59" s="556"/>
      <c r="E59" s="556"/>
      <c r="F59" s="535"/>
      <c r="G59" s="556"/>
      <c r="H59" s="579"/>
    </row>
    <row r="60" spans="1:12" hidden="1" x14ac:dyDescent="0.25">
      <c r="A60" s="539" t="s">
        <v>284</v>
      </c>
      <c r="B60" s="557" t="str">
        <f>'Y1'!L104</f>
        <v>No</v>
      </c>
      <c r="C60" s="541"/>
      <c r="D60" s="541"/>
      <c r="E60" s="541"/>
      <c r="F60" s="541"/>
      <c r="G60" s="541"/>
      <c r="H60" s="578"/>
    </row>
    <row r="61" spans="1:12" hidden="1" x14ac:dyDescent="0.25">
      <c r="A61" s="527"/>
      <c r="B61" s="545"/>
      <c r="C61" s="545"/>
      <c r="D61" s="545"/>
      <c r="E61" s="545"/>
      <c r="F61" s="545"/>
      <c r="G61" s="545"/>
    </row>
    <row r="62" spans="1:12" hidden="1" x14ac:dyDescent="0.25">
      <c r="A62" s="538" t="s">
        <v>285</v>
      </c>
      <c r="B62" s="559" t="s">
        <v>0</v>
      </c>
      <c r="C62" s="559" t="s">
        <v>1</v>
      </c>
      <c r="D62" s="559" t="s">
        <v>2</v>
      </c>
      <c r="E62" s="559" t="s">
        <v>3</v>
      </c>
      <c r="F62" s="559" t="s">
        <v>11</v>
      </c>
      <c r="G62" s="541"/>
      <c r="H62" s="578"/>
    </row>
    <row r="63" spans="1:12" hidden="1" x14ac:dyDescent="0.25">
      <c r="A63" s="539" t="s">
        <v>220</v>
      </c>
      <c r="B63" s="541"/>
      <c r="C63" s="541"/>
      <c r="D63" s="541"/>
      <c r="E63" s="541"/>
      <c r="F63" s="541"/>
      <c r="G63" s="541"/>
      <c r="H63" s="580"/>
    </row>
    <row r="64" spans="1:12" hidden="1" x14ac:dyDescent="0.25">
      <c r="A64" s="540"/>
      <c r="B64" s="558" t="str">
        <f>'Y1'!L270</f>
        <v>No</v>
      </c>
      <c r="C64" s="558" t="str">
        <f>'Y2'!L201</f>
        <v>No</v>
      </c>
      <c r="D64" s="558" t="str">
        <f>'Y3'!L202</f>
        <v>No</v>
      </c>
      <c r="E64" s="558" t="str">
        <f>'Y4'!L201</f>
        <v>No</v>
      </c>
      <c r="F64" s="558" t="str">
        <f>'Y5'!L203</f>
        <v>No</v>
      </c>
      <c r="G64" s="541"/>
      <c r="H64" s="578"/>
    </row>
    <row r="65" spans="1:31" hidden="1" x14ac:dyDescent="0.25">
      <c r="A65" s="527"/>
      <c r="B65" s="545"/>
      <c r="C65" s="545"/>
      <c r="D65" s="545"/>
      <c r="E65" s="545"/>
      <c r="F65" s="545"/>
      <c r="G65" s="545"/>
    </row>
    <row r="66" spans="1:31" hidden="1" x14ac:dyDescent="0.25">
      <c r="A66" s="540"/>
      <c r="B66" s="559" t="s">
        <v>0</v>
      </c>
      <c r="C66" s="541"/>
      <c r="D66" s="541"/>
      <c r="E66" s="541"/>
      <c r="F66" s="541"/>
      <c r="G66" s="560" t="s">
        <v>267</v>
      </c>
      <c r="H66" s="578"/>
    </row>
    <row r="67" spans="1:31" s="1" customFormat="1" ht="14.4" hidden="1" x14ac:dyDescent="0.3">
      <c r="A67" s="539" t="s">
        <v>304</v>
      </c>
      <c r="B67" s="554" t="str">
        <f>'Y1'!L134</f>
        <v>No</v>
      </c>
      <c r="C67" s="541"/>
      <c r="D67" s="561"/>
      <c r="E67" s="561"/>
      <c r="F67" s="561"/>
      <c r="G67" s="561"/>
      <c r="H67" s="581"/>
      <c r="I67" s="326"/>
      <c r="J67" s="326"/>
      <c r="K67" s="326"/>
      <c r="L67" s="582"/>
      <c r="M67" s="582"/>
      <c r="N67" s="230"/>
      <c r="O67" s="230"/>
      <c r="P67" s="230"/>
      <c r="Q67" s="230"/>
      <c r="R67" s="230"/>
      <c r="S67" s="230"/>
      <c r="T67" s="230"/>
      <c r="U67" s="230"/>
      <c r="V67" s="230"/>
      <c r="W67" s="230"/>
      <c r="X67" s="230"/>
      <c r="Y67" s="230"/>
      <c r="Z67" s="265"/>
      <c r="AA67" s="95"/>
      <c r="AD67" s="95"/>
      <c r="AE67" s="95"/>
    </row>
    <row r="68" spans="1:31" s="1" customFormat="1" hidden="1" x14ac:dyDescent="0.25">
      <c r="A68" s="539" t="s">
        <v>69</v>
      </c>
      <c r="B68" s="539"/>
      <c r="C68" s="541"/>
      <c r="D68" s="561"/>
      <c r="E68" s="561"/>
      <c r="F68" s="561"/>
      <c r="G68" s="561"/>
      <c r="H68" s="561"/>
      <c r="I68" s="326"/>
      <c r="J68" s="326"/>
      <c r="K68" s="326"/>
      <c r="L68" s="522"/>
      <c r="M68" s="522"/>
      <c r="N68" s="230"/>
      <c r="O68" s="230"/>
      <c r="P68" s="230"/>
      <c r="Q68" s="230"/>
      <c r="R68" s="230"/>
      <c r="S68" s="230"/>
      <c r="T68" s="230"/>
      <c r="U68" s="230"/>
      <c r="V68" s="230"/>
      <c r="W68" s="230"/>
      <c r="X68" s="230"/>
      <c r="Y68" s="230"/>
      <c r="Z68" s="265"/>
      <c r="AA68" s="95"/>
      <c r="AD68" s="95"/>
      <c r="AE68" s="95"/>
    </row>
    <row r="69" spans="1:31" s="1" customFormat="1" hidden="1" x14ac:dyDescent="0.25">
      <c r="A69" s="539" t="s">
        <v>106</v>
      </c>
      <c r="B69" s="539"/>
      <c r="C69" s="561"/>
      <c r="D69" s="561"/>
      <c r="E69" s="561"/>
      <c r="F69" s="561"/>
      <c r="G69" s="561"/>
      <c r="H69" s="561"/>
      <c r="I69" s="326"/>
      <c r="J69" s="326"/>
      <c r="K69" s="326"/>
      <c r="L69" s="522"/>
      <c r="M69" s="522"/>
      <c r="N69" s="230"/>
      <c r="O69" s="230"/>
      <c r="P69" s="230"/>
      <c r="Q69" s="230"/>
      <c r="R69" s="230"/>
      <c r="S69" s="230"/>
      <c r="T69" s="230"/>
      <c r="U69" s="230"/>
      <c r="V69" s="230"/>
      <c r="W69" s="230"/>
      <c r="X69" s="230"/>
      <c r="Y69" s="230"/>
      <c r="Z69" s="265"/>
      <c r="AA69" s="95"/>
      <c r="AD69" s="95"/>
      <c r="AE69" s="95"/>
    </row>
    <row r="70" spans="1:31" ht="27.6" hidden="1" x14ac:dyDescent="0.25">
      <c r="A70" s="541"/>
      <c r="B70" s="541" t="s">
        <v>305</v>
      </c>
      <c r="C70" s="541"/>
      <c r="D70" s="541"/>
      <c r="E70" s="541"/>
      <c r="F70" s="541"/>
      <c r="G70" s="541"/>
      <c r="H70" s="578"/>
    </row>
    <row r="71" spans="1:31" hidden="1" x14ac:dyDescent="0.25">
      <c r="A71" s="538" t="s">
        <v>303</v>
      </c>
      <c r="B71" s="562">
        <f>SUM('Y1'!O140:O165)</f>
        <v>0</v>
      </c>
      <c r="C71" s="541"/>
      <c r="D71" s="541"/>
      <c r="E71" s="541"/>
      <c r="F71" s="541"/>
      <c r="G71" s="541"/>
      <c r="H71" s="578"/>
    </row>
    <row r="72" spans="1:31" hidden="1" x14ac:dyDescent="0.25">
      <c r="A72" s="527"/>
      <c r="B72" s="545"/>
      <c r="C72" s="545"/>
      <c r="D72" s="545"/>
      <c r="E72" s="545"/>
      <c r="F72" s="545"/>
      <c r="G72" s="545"/>
    </row>
    <row r="73" spans="1:31" hidden="1" x14ac:dyDescent="0.25">
      <c r="A73" s="540"/>
      <c r="B73" s="559" t="s">
        <v>0</v>
      </c>
      <c r="C73" s="541"/>
      <c r="D73" s="541"/>
      <c r="E73" s="541"/>
      <c r="F73" s="541"/>
      <c r="G73" s="541"/>
      <c r="H73" s="541"/>
      <c r="I73" s="541"/>
      <c r="J73" s="541"/>
      <c r="K73" s="580"/>
      <c r="L73" s="560" t="s">
        <v>306</v>
      </c>
      <c r="M73" s="560"/>
      <c r="N73" s="561"/>
      <c r="O73" s="561"/>
      <c r="P73" s="561"/>
      <c r="Q73" s="561"/>
      <c r="R73" s="561"/>
    </row>
    <row r="74" spans="1:31" s="1" customFormat="1" hidden="1" x14ac:dyDescent="0.25">
      <c r="A74" s="539" t="s">
        <v>304</v>
      </c>
      <c r="B74" s="554" t="str">
        <f>'Y1'!L168</f>
        <v>No</v>
      </c>
      <c r="C74" s="561"/>
      <c r="D74" s="561"/>
      <c r="E74" s="561"/>
      <c r="F74" s="561"/>
      <c r="G74" s="561"/>
      <c r="H74" s="561"/>
      <c r="I74" s="561"/>
      <c r="J74" s="561"/>
      <c r="K74" s="561"/>
      <c r="L74" s="561"/>
      <c r="M74" s="561"/>
      <c r="N74" s="561"/>
      <c r="O74" s="561"/>
      <c r="P74" s="561"/>
      <c r="Q74" s="561"/>
      <c r="R74" s="561"/>
      <c r="S74" s="230"/>
      <c r="T74" s="230"/>
      <c r="U74" s="230"/>
      <c r="V74" s="230"/>
      <c r="W74" s="230"/>
      <c r="X74" s="230"/>
      <c r="Y74" s="230"/>
      <c r="Z74" s="265"/>
      <c r="AA74" s="95"/>
      <c r="AD74" s="95"/>
      <c r="AE74" s="95"/>
    </row>
    <row r="75" spans="1:31" s="1" customFormat="1" hidden="1" x14ac:dyDescent="0.25">
      <c r="A75" s="539" t="s">
        <v>127</v>
      </c>
      <c r="B75" s="539"/>
      <c r="C75" s="561"/>
      <c r="D75" s="561"/>
      <c r="E75" s="561"/>
      <c r="F75" s="561"/>
      <c r="G75" s="561"/>
      <c r="H75" s="561"/>
      <c r="I75" s="561"/>
      <c r="J75" s="561"/>
      <c r="K75" s="561"/>
      <c r="L75" s="561"/>
      <c r="M75" s="561"/>
      <c r="N75" s="561"/>
      <c r="O75" s="561"/>
      <c r="P75" s="561"/>
      <c r="Q75" s="561"/>
      <c r="R75" s="561"/>
      <c r="S75" s="230"/>
      <c r="T75" s="230"/>
      <c r="U75" s="230"/>
      <c r="V75" s="230"/>
      <c r="W75" s="230"/>
      <c r="X75" s="230"/>
      <c r="Y75" s="230"/>
      <c r="Z75" s="265"/>
      <c r="AA75" s="95"/>
      <c r="AD75" s="95"/>
      <c r="AE75" s="95"/>
    </row>
    <row r="76" spans="1:31" s="1" customFormat="1" hidden="1" x14ac:dyDescent="0.25">
      <c r="A76" s="539" t="s">
        <v>128</v>
      </c>
      <c r="B76" s="539"/>
      <c r="C76" s="561"/>
      <c r="D76" s="561"/>
      <c r="E76" s="561"/>
      <c r="F76" s="561"/>
      <c r="G76" s="561"/>
      <c r="H76" s="1533" t="s">
        <v>1</v>
      </c>
      <c r="I76" s="1533"/>
      <c r="J76" s="561"/>
      <c r="K76" s="1534" t="s">
        <v>2</v>
      </c>
      <c r="L76" s="1534"/>
      <c r="M76" s="583"/>
      <c r="N76" s="1533" t="s">
        <v>3</v>
      </c>
      <c r="O76" s="1533"/>
      <c r="P76" s="561"/>
      <c r="Q76" s="1533" t="s">
        <v>11</v>
      </c>
      <c r="R76" s="1533"/>
      <c r="S76" s="230"/>
      <c r="T76" s="230"/>
      <c r="U76" s="230"/>
      <c r="V76" s="230"/>
      <c r="W76" s="230"/>
      <c r="X76" s="230"/>
      <c r="Y76" s="230"/>
      <c r="Z76" s="265"/>
      <c r="AA76" s="95"/>
      <c r="AD76" s="95"/>
      <c r="AE76" s="95"/>
    </row>
    <row r="77" spans="1:31" hidden="1" x14ac:dyDescent="0.25">
      <c r="A77" s="542" t="s">
        <v>229</v>
      </c>
      <c r="B77" s="563" t="s">
        <v>227</v>
      </c>
      <c r="C77" s="561" t="s">
        <v>228</v>
      </c>
      <c r="D77" s="561" t="s">
        <v>265</v>
      </c>
      <c r="E77" s="561" t="s">
        <v>280</v>
      </c>
      <c r="F77" s="561" t="s">
        <v>283</v>
      </c>
      <c r="G77" s="564" t="s">
        <v>4</v>
      </c>
      <c r="H77" s="584" t="s">
        <v>309</v>
      </c>
      <c r="I77" s="585" t="s">
        <v>187</v>
      </c>
      <c r="J77" s="585"/>
      <c r="K77" s="586" t="s">
        <v>310</v>
      </c>
      <c r="L77" s="586" t="s">
        <v>187</v>
      </c>
      <c r="M77" s="586"/>
      <c r="N77" s="584" t="s">
        <v>311</v>
      </c>
      <c r="O77" s="586" t="s">
        <v>187</v>
      </c>
      <c r="P77" s="564"/>
      <c r="Q77" s="584" t="s">
        <v>312</v>
      </c>
      <c r="R77" s="586" t="s">
        <v>187</v>
      </c>
    </row>
    <row r="78" spans="1:31" ht="14.4" hidden="1" x14ac:dyDescent="0.25">
      <c r="A78" s="543" t="s">
        <v>232</v>
      </c>
      <c r="B78" s="565">
        <f>'Y1'!O172</f>
        <v>0</v>
      </c>
      <c r="C78" s="565">
        <f>IF($B$56&gt;1,B78," ")</f>
        <v>0</v>
      </c>
      <c r="D78" s="565">
        <f>IF($B$56&gt;2,C78," ")</f>
        <v>0</v>
      </c>
      <c r="E78" s="565">
        <f>IF($B$56&gt;3,D78," ")</f>
        <v>0</v>
      </c>
      <c r="F78" s="565">
        <f>IF($B$56&gt;4,E78," ")</f>
        <v>0</v>
      </c>
      <c r="G78" s="566">
        <f>SUM(B78:F78)</f>
        <v>0</v>
      </c>
      <c r="H78" s="566">
        <f>SUM(B78:C78)</f>
        <v>0</v>
      </c>
      <c r="I78" s="587">
        <f>IF(H78&gt;25000, 25000-B78, C78)</f>
        <v>0</v>
      </c>
      <c r="J78" s="587"/>
      <c r="K78" s="568">
        <f>SUM(B78:D78)</f>
        <v>0</v>
      </c>
      <c r="L78" s="587">
        <f>IF(AND(H78&lt;25000,K78&gt;25000,D78&gt;H78),25000-H78,IF(AND(H78&lt;25000,D78&lt;25000),D78,0))</f>
        <v>0</v>
      </c>
      <c r="M78" s="587"/>
      <c r="N78" s="566">
        <f>SUM(B78:E78)</f>
        <v>0</v>
      </c>
      <c r="O78" s="588">
        <f>IF(AND(N78&lt;25000,M78&gt;25000,L78&gt;N78),25000-N78,IF(AND(N78&lt;25000,L78&lt;25000),L78, 0))</f>
        <v>0</v>
      </c>
      <c r="P78" s="561"/>
      <c r="Q78" s="568">
        <f>SUM(B78:F78)</f>
        <v>0</v>
      </c>
      <c r="R78" s="541">
        <f>IF(AND(N78&lt;25000,Q78&gt;25000,F78&gt;N78),25000-N78,IF(AND(N78&lt;25000,F78&lt;25000),F78, 0))</f>
        <v>0</v>
      </c>
    </row>
    <row r="79" spans="1:31" ht="14.4" hidden="1" x14ac:dyDescent="0.25">
      <c r="A79" s="543" t="s">
        <v>233</v>
      </c>
      <c r="B79" s="565">
        <f>'Y1'!O173</f>
        <v>0</v>
      </c>
      <c r="C79" s="565">
        <f>IF($B$56&gt;1,B79," ")</f>
        <v>0</v>
      </c>
      <c r="D79" s="565">
        <f>IF($B$56&gt;2,C79," ")</f>
        <v>0</v>
      </c>
      <c r="E79" s="565">
        <f>IF($B$56&gt;3,D79," ")</f>
        <v>0</v>
      </c>
      <c r="F79" s="565">
        <f>IF($B$56&gt;4,E79," ")</f>
        <v>0</v>
      </c>
      <c r="G79" s="566">
        <f>SUM(B79:F79)</f>
        <v>0</v>
      </c>
      <c r="H79" s="566">
        <f>SUM(B79:C79)</f>
        <v>0</v>
      </c>
      <c r="I79" s="587">
        <f>IF(H79&gt;25000, 25000-B79, C79)</f>
        <v>0</v>
      </c>
      <c r="J79" s="587"/>
      <c r="K79" s="568">
        <f>SUM(B79:D79)</f>
        <v>0</v>
      </c>
      <c r="L79" s="587">
        <f>IF(AND(H79&lt;25000,K79&gt;25000,D79&gt;H79),25000-H79,IF(AND(H79&lt;25000,D79&lt;25000),D79,0))</f>
        <v>0</v>
      </c>
      <c r="M79" s="587"/>
      <c r="N79" s="566">
        <f>SUM(B79:E79)</f>
        <v>0</v>
      </c>
      <c r="O79" s="588">
        <f>IF(AND(N79&lt;25000,M79&gt;25000,L79&gt;N79),25000-N79,IF(AND(N79&lt;25000,L79&lt;25000),L79, 0))</f>
        <v>0</v>
      </c>
      <c r="P79" s="561"/>
      <c r="Q79" s="568">
        <f>SUM(B79:F79)</f>
        <v>0</v>
      </c>
      <c r="R79" s="541">
        <f>IF(AND(N79&lt;25000,Q79&gt;25000,F79&gt;N79),25000-N79,IF(AND(N79&lt;25000,F79&lt;25000),F79, 0))</f>
        <v>0</v>
      </c>
    </row>
    <row r="80" spans="1:31" hidden="1" x14ac:dyDescent="0.25">
      <c r="A80" s="540" t="s">
        <v>307</v>
      </c>
      <c r="B80" s="567">
        <f>SUM(B78:B79)</f>
        <v>0</v>
      </c>
      <c r="C80" s="567">
        <f t="shared" ref="C80:G80" si="2">SUM(C78:C79)</f>
        <v>0</v>
      </c>
      <c r="D80" s="567">
        <f t="shared" si="2"/>
        <v>0</v>
      </c>
      <c r="E80" s="567">
        <f t="shared" si="2"/>
        <v>0</v>
      </c>
      <c r="F80" s="567">
        <f t="shared" si="2"/>
        <v>0</v>
      </c>
      <c r="G80" s="568">
        <f t="shared" si="2"/>
        <v>0</v>
      </c>
      <c r="H80" s="568">
        <f t="shared" ref="H80" si="3">SUM(H78:H79)</f>
        <v>0</v>
      </c>
      <c r="I80" s="567">
        <f t="shared" ref="I80" si="4">SUM(I78:I79)</f>
        <v>0</v>
      </c>
      <c r="J80" s="568"/>
      <c r="K80" s="568">
        <f t="shared" ref="K80" si="5">SUM(K78:K79)</f>
        <v>0</v>
      </c>
      <c r="L80" s="568">
        <f t="shared" ref="L80:R80" si="6">SUM(L78:L79)</f>
        <v>0</v>
      </c>
      <c r="M80" s="568">
        <f t="shared" si="6"/>
        <v>0</v>
      </c>
      <c r="N80" s="568">
        <f t="shared" si="6"/>
        <v>0</v>
      </c>
      <c r="O80" s="567">
        <f t="shared" si="6"/>
        <v>0</v>
      </c>
      <c r="P80" s="561"/>
      <c r="Q80" s="567">
        <f t="shared" si="6"/>
        <v>0</v>
      </c>
      <c r="R80" s="567">
        <f t="shared" si="6"/>
        <v>0</v>
      </c>
      <c r="S80" s="556"/>
      <c r="T80" s="556"/>
      <c r="U80" s="556"/>
      <c r="V80" s="556"/>
      <c r="W80" s="556"/>
      <c r="X80" s="556"/>
      <c r="Y80" s="556"/>
      <c r="Z80" s="556"/>
      <c r="AA80" s="62"/>
      <c r="AB80" s="62"/>
      <c r="AC80" s="62"/>
      <c r="AD80" s="62"/>
      <c r="AE80" s="62"/>
    </row>
    <row r="81" spans="1:31" s="66" customFormat="1" hidden="1" x14ac:dyDescent="0.25">
      <c r="A81" s="540"/>
      <c r="B81" s="541"/>
      <c r="C81" s="541"/>
      <c r="D81" s="541"/>
      <c r="E81" s="541"/>
      <c r="F81" s="541"/>
      <c r="G81" s="541"/>
      <c r="H81" s="578"/>
      <c r="I81" s="578"/>
      <c r="J81" s="578"/>
      <c r="K81" s="589" t="s">
        <v>308</v>
      </c>
      <c r="L81" s="567">
        <f>I80-L80</f>
        <v>0</v>
      </c>
      <c r="M81" s="567"/>
      <c r="N81" s="589" t="s">
        <v>308</v>
      </c>
      <c r="O81" s="567">
        <f>L80-O80</f>
        <v>0</v>
      </c>
      <c r="P81" s="541"/>
      <c r="Q81" s="589" t="s">
        <v>308</v>
      </c>
      <c r="R81" s="567">
        <f>O80-R80</f>
        <v>0</v>
      </c>
      <c r="S81" s="556"/>
      <c r="T81" s="556"/>
      <c r="U81" s="556"/>
      <c r="V81" s="556"/>
      <c r="W81" s="556"/>
      <c r="X81" s="556"/>
      <c r="Y81" s="556"/>
      <c r="Z81" s="556"/>
      <c r="AA81" s="62"/>
      <c r="AB81" s="62"/>
      <c r="AC81" s="62"/>
      <c r="AD81" s="62"/>
      <c r="AE81" s="62"/>
    </row>
    <row r="82" spans="1:31" hidden="1" x14ac:dyDescent="0.25">
      <c r="A82" s="527"/>
      <c r="B82" s="527"/>
      <c r="C82" s="545"/>
      <c r="D82" s="545"/>
      <c r="E82" s="545"/>
      <c r="F82" s="545"/>
      <c r="G82" s="545"/>
      <c r="S82" s="556"/>
    </row>
    <row r="83" spans="1:31" hidden="1" x14ac:dyDescent="0.25">
      <c r="A83" s="559" t="s">
        <v>506</v>
      </c>
      <c r="B83" s="563" t="s">
        <v>507</v>
      </c>
      <c r="C83" s="561" t="s">
        <v>508</v>
      </c>
      <c r="D83" s="561" t="s">
        <v>509</v>
      </c>
      <c r="E83" s="561" t="s">
        <v>510</v>
      </c>
      <c r="F83" s="561" t="s">
        <v>511</v>
      </c>
      <c r="G83" s="541"/>
      <c r="H83" s="541"/>
      <c r="I83" s="541"/>
      <c r="J83" s="541"/>
      <c r="K83" s="541"/>
      <c r="L83" s="556"/>
      <c r="M83" s="556"/>
      <c r="N83" s="556"/>
      <c r="O83" s="556"/>
      <c r="P83" s="556"/>
      <c r="Q83" s="556"/>
      <c r="R83" s="556"/>
      <c r="S83" s="556"/>
    </row>
    <row r="84" spans="1:31" hidden="1" x14ac:dyDescent="0.25">
      <c r="A84" s="541"/>
      <c r="B84" s="995">
        <f>SUM('Y1'!$M$54:$M$56)+'Y1'!$M$58</f>
        <v>0</v>
      </c>
      <c r="C84" s="995">
        <f>SUM('Y2'!$L$54:$L$56)+'Y2'!$L$58</f>
        <v>0</v>
      </c>
      <c r="D84" s="995">
        <f>SUM('Y3'!$L$54:$L$56)+'Y3'!$L$58</f>
        <v>0</v>
      </c>
      <c r="E84" s="995">
        <f>SUM('Y4'!$L$54:$L$56)+'Y4'!$L$58</f>
        <v>0</v>
      </c>
      <c r="F84" s="995">
        <f>SUM('Y5'!$L$54:$L$56)+'Y5'!$L$58</f>
        <v>0</v>
      </c>
      <c r="G84" s="541"/>
      <c r="H84" s="541"/>
      <c r="I84" s="541"/>
      <c r="J84" s="541"/>
      <c r="K84" s="541"/>
      <c r="L84" s="556"/>
      <c r="M84" s="556"/>
      <c r="N84" s="556"/>
      <c r="O84" s="556"/>
      <c r="P84" s="556"/>
      <c r="Q84" s="556"/>
      <c r="R84" s="556"/>
      <c r="S84" s="556"/>
    </row>
    <row r="85" spans="1:31" hidden="1" x14ac:dyDescent="0.25">
      <c r="A85" s="541"/>
      <c r="B85" s="541"/>
      <c r="C85" s="541"/>
      <c r="D85" s="541"/>
      <c r="E85" s="541"/>
      <c r="F85" s="541"/>
      <c r="G85" s="541"/>
      <c r="H85" s="541"/>
      <c r="I85" s="541"/>
      <c r="J85" s="541"/>
      <c r="K85" s="541"/>
      <c r="L85" s="556"/>
      <c r="M85" s="556"/>
      <c r="N85" s="556"/>
      <c r="O85" s="556"/>
      <c r="P85" s="556"/>
      <c r="Q85" s="556"/>
      <c r="R85" s="556"/>
      <c r="S85" s="556"/>
    </row>
    <row r="86" spans="1:31" x14ac:dyDescent="0.25">
      <c r="A86" s="527"/>
      <c r="B86" s="545"/>
      <c r="C86" s="545"/>
      <c r="D86" s="545"/>
      <c r="E86" s="545"/>
      <c r="F86" s="545"/>
      <c r="G86" s="545"/>
      <c r="L86" s="556"/>
      <c r="M86" s="556"/>
      <c r="N86" s="556"/>
      <c r="O86" s="556"/>
      <c r="P86" s="556"/>
      <c r="Q86" s="556"/>
      <c r="R86" s="556"/>
      <c r="S86" s="556"/>
    </row>
    <row r="87" spans="1:31" x14ac:dyDescent="0.25">
      <c r="A87" s="527"/>
      <c r="B87" s="545"/>
      <c r="C87" s="545"/>
      <c r="D87" s="545"/>
      <c r="E87" s="545"/>
      <c r="F87" s="545"/>
      <c r="G87" s="545"/>
    </row>
    <row r="88" spans="1:31" x14ac:dyDescent="0.25">
      <c r="A88" s="527"/>
      <c r="B88" s="545"/>
      <c r="C88" s="545"/>
      <c r="D88" s="545"/>
      <c r="E88" s="545"/>
      <c r="F88" s="545"/>
      <c r="G88" s="545"/>
    </row>
    <row r="89" spans="1:31" x14ac:dyDescent="0.25">
      <c r="A89" s="527"/>
      <c r="B89" s="545"/>
      <c r="C89" s="545"/>
      <c r="D89" s="545"/>
      <c r="E89" s="545"/>
      <c r="F89" s="545"/>
      <c r="G89" s="545"/>
    </row>
    <row r="90" spans="1:31" x14ac:dyDescent="0.25">
      <c r="A90" s="527"/>
      <c r="B90" s="545"/>
      <c r="C90" s="545"/>
      <c r="D90" s="545"/>
      <c r="E90" s="545"/>
      <c r="F90" s="545"/>
      <c r="G90" s="545"/>
    </row>
    <row r="91" spans="1:31" x14ac:dyDescent="0.25">
      <c r="A91" s="527"/>
      <c r="B91" s="545"/>
      <c r="C91" s="545"/>
      <c r="D91" s="545"/>
      <c r="E91" s="545"/>
      <c r="F91" s="545"/>
      <c r="G91" s="545"/>
    </row>
    <row r="92" spans="1:31" x14ac:dyDescent="0.25">
      <c r="A92" s="527"/>
      <c r="B92" s="545"/>
      <c r="C92" s="545"/>
      <c r="D92" s="545"/>
      <c r="E92" s="545"/>
      <c r="F92" s="545"/>
      <c r="G92" s="545"/>
    </row>
    <row r="93" spans="1:31" x14ac:dyDescent="0.25">
      <c r="A93" s="527"/>
      <c r="B93" s="545"/>
      <c r="C93" s="545"/>
      <c r="D93" s="545"/>
      <c r="E93" s="545"/>
      <c r="F93" s="545"/>
      <c r="G93" s="545"/>
    </row>
    <row r="94" spans="1:31" x14ac:dyDescent="0.25">
      <c r="A94" s="527"/>
      <c r="B94" s="545"/>
      <c r="C94" s="545"/>
      <c r="D94" s="545"/>
      <c r="E94" s="545"/>
      <c r="F94" s="545"/>
      <c r="G94" s="545"/>
    </row>
    <row r="95" spans="1:31" x14ac:dyDescent="0.25">
      <c r="A95" s="527"/>
      <c r="B95" s="545"/>
      <c r="C95" s="545"/>
      <c r="D95" s="545"/>
      <c r="E95" s="545"/>
      <c r="F95" s="545"/>
      <c r="G95" s="545"/>
    </row>
    <row r="96" spans="1:31" x14ac:dyDescent="0.25">
      <c r="A96" s="527"/>
      <c r="B96" s="545"/>
      <c r="C96" s="545"/>
      <c r="D96" s="545"/>
      <c r="E96" s="545"/>
      <c r="F96" s="545"/>
      <c r="G96" s="545"/>
    </row>
    <row r="97" spans="1:7" x14ac:dyDescent="0.25">
      <c r="A97" s="527"/>
      <c r="B97" s="545"/>
      <c r="C97" s="545"/>
      <c r="D97" s="545"/>
      <c r="E97" s="545"/>
      <c r="F97" s="545"/>
      <c r="G97" s="545"/>
    </row>
    <row r="98" spans="1:7" x14ac:dyDescent="0.25">
      <c r="A98" s="527"/>
      <c r="B98" s="545"/>
      <c r="C98" s="545"/>
      <c r="D98" s="545"/>
      <c r="E98" s="545"/>
      <c r="F98" s="545"/>
      <c r="G98" s="545"/>
    </row>
    <row r="99" spans="1:7" x14ac:dyDescent="0.25">
      <c r="A99" s="527"/>
      <c r="B99" s="545"/>
      <c r="C99" s="545"/>
      <c r="D99" s="545"/>
      <c r="E99" s="545"/>
      <c r="F99" s="545"/>
      <c r="G99" s="545"/>
    </row>
    <row r="100" spans="1:7" x14ac:dyDescent="0.25">
      <c r="A100" s="527"/>
      <c r="B100" s="545"/>
      <c r="C100" s="545"/>
      <c r="D100" s="545"/>
      <c r="E100" s="545"/>
      <c r="F100" s="545"/>
      <c r="G100" s="545"/>
    </row>
    <row r="101" spans="1:7" x14ac:dyDescent="0.25">
      <c r="A101" s="527"/>
      <c r="B101" s="545"/>
      <c r="C101" s="545"/>
      <c r="D101" s="545"/>
      <c r="E101" s="545"/>
      <c r="F101" s="545"/>
      <c r="G101" s="545"/>
    </row>
    <row r="102" spans="1:7" x14ac:dyDescent="0.25">
      <c r="A102" s="527"/>
      <c r="B102" s="545"/>
      <c r="C102" s="545"/>
      <c r="D102" s="545"/>
      <c r="E102" s="545"/>
      <c r="F102" s="545"/>
      <c r="G102" s="545"/>
    </row>
    <row r="103" spans="1:7" x14ac:dyDescent="0.25">
      <c r="A103" s="527"/>
      <c r="B103" s="545"/>
      <c r="C103" s="545"/>
      <c r="D103" s="545"/>
      <c r="E103" s="545"/>
      <c r="F103" s="545"/>
      <c r="G103" s="545"/>
    </row>
    <row r="104" spans="1:7" x14ac:dyDescent="0.25">
      <c r="A104" s="527"/>
      <c r="B104" s="545"/>
      <c r="C104" s="545"/>
      <c r="D104" s="545"/>
      <c r="E104" s="545"/>
      <c r="F104" s="545"/>
      <c r="G104" s="545"/>
    </row>
    <row r="105" spans="1:7" x14ac:dyDescent="0.25">
      <c r="A105" s="527"/>
      <c r="B105" s="545"/>
      <c r="C105" s="545"/>
      <c r="D105" s="545"/>
      <c r="E105" s="545"/>
      <c r="F105" s="545"/>
      <c r="G105" s="545"/>
    </row>
    <row r="106" spans="1:7" x14ac:dyDescent="0.25">
      <c r="B106" s="545"/>
      <c r="C106" s="545"/>
      <c r="D106" s="545"/>
      <c r="E106" s="545"/>
      <c r="F106" s="545"/>
      <c r="G106" s="545"/>
    </row>
  </sheetData>
  <sheetProtection algorithmName="SHA-512" hashValue="A3dQFeJgQQ0oFJ8MgOLmmFLpbhejHFJoDjStVEwf2uVJ/b++hE8Jw+SQIogJqUyQ9VgDEiuRAWWuyfwshsrlng==" saltValue="ld6LPuI6/yvaNmbRRg9iBQ==" spinCount="100000" sheet="1" formatCells="0" formatColumns="0" sort="0"/>
  <mergeCells count="6">
    <mergeCell ref="A37:G37"/>
    <mergeCell ref="H76:I76"/>
    <mergeCell ref="K76:L76"/>
    <mergeCell ref="N76:O76"/>
    <mergeCell ref="Q76:R76"/>
    <mergeCell ref="E58:G58"/>
  </mergeCells>
  <dataValidations count="1">
    <dataValidation type="whole" operator="lessThanOrEqual" allowBlank="1" showInputMessage="1" showErrorMessage="1" sqref="B78:B79">
      <formula1>25000</formula1>
    </dataValidation>
  </dataValidations>
  <pageMargins left="0.25" right="0.25" top="0.4" bottom="0.4" header="0.3" footer="0.3"/>
  <pageSetup scale="88"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130" zoomScaleNormal="130" workbookViewId="0">
      <selection activeCell="A10" sqref="A10"/>
    </sheetView>
  </sheetViews>
  <sheetFormatPr defaultRowHeight="13.2" x14ac:dyDescent="0.25"/>
  <cols>
    <col min="1" max="16384" width="8.88671875" style="1412"/>
  </cols>
  <sheetData>
    <row r="1" spans="1:9" x14ac:dyDescent="0.25">
      <c r="A1" s="1439" t="s">
        <v>607</v>
      </c>
      <c r="I1" s="1440" t="s">
        <v>639</v>
      </c>
    </row>
    <row r="2" spans="1:9" x14ac:dyDescent="0.25">
      <c r="A2" s="1440" t="s">
        <v>608</v>
      </c>
    </row>
    <row r="3" spans="1:9" x14ac:dyDescent="0.25">
      <c r="A3" s="1440" t="s">
        <v>609</v>
      </c>
    </row>
    <row r="4" spans="1:9" x14ac:dyDescent="0.25">
      <c r="A4" s="1439"/>
    </row>
    <row r="5" spans="1:9" x14ac:dyDescent="0.25">
      <c r="A5" s="1441" t="s">
        <v>610</v>
      </c>
    </row>
    <row r="6" spans="1:9" x14ac:dyDescent="0.25">
      <c r="A6" s="1441" t="s">
        <v>611</v>
      </c>
    </row>
    <row r="7" spans="1:9" x14ac:dyDescent="0.25">
      <c r="A7" s="1411"/>
    </row>
    <row r="8" spans="1:9" x14ac:dyDescent="0.25">
      <c r="A8" s="1411" t="s">
        <v>612</v>
      </c>
    </row>
    <row r="9" spans="1:9" x14ac:dyDescent="0.25">
      <c r="A9" s="1413" t="s">
        <v>6</v>
      </c>
      <c r="B9" s="1413" t="s">
        <v>20</v>
      </c>
    </row>
    <row r="10" spans="1:9" x14ac:dyDescent="0.25">
      <c r="A10" s="1414">
        <v>0.05</v>
      </c>
      <c r="B10" s="1415">
        <f>A10*12</f>
        <v>0.60000000000000009</v>
      </c>
    </row>
    <row r="12" spans="1:9" x14ac:dyDescent="0.25">
      <c r="A12" s="1411" t="s">
        <v>613</v>
      </c>
    </row>
    <row r="13" spans="1:9" x14ac:dyDescent="0.25">
      <c r="A13" s="1413" t="s">
        <v>20</v>
      </c>
      <c r="B13" s="1413" t="s">
        <v>6</v>
      </c>
    </row>
    <row r="14" spans="1:9" x14ac:dyDescent="0.25">
      <c r="A14" s="1416">
        <v>0.6</v>
      </c>
      <c r="B14" s="1417">
        <f>A14/12</f>
        <v>4.9999999999999996E-2</v>
      </c>
    </row>
  </sheetData>
  <sheetProtection algorithmName="SHA-512" hashValue="3ylUetiwOLft3FRoWe5ISvvwgPAKZ4SyQ7gMS0Ata7W/XpfuMrsAk/wSvikMUheEfEDEAiwcYklMTM1WaMW1Mg==" saltValue="5Gutwxc2BTKqgYqNTCp2GA==" spinCount="100000" sheet="1" scenarios="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130" zoomScaleNormal="130" workbookViewId="0">
      <selection activeCell="B7" sqref="B7"/>
    </sheetView>
  </sheetViews>
  <sheetFormatPr defaultColWidth="9.109375" defaultRowHeight="14.4" x14ac:dyDescent="0.3"/>
  <cols>
    <col min="1" max="1" width="29" style="1418" customWidth="1"/>
    <col min="2" max="3" width="10.44140625" style="1418" customWidth="1"/>
    <col min="4" max="4" width="23.5546875" style="1418" customWidth="1"/>
    <col min="5" max="5" width="19" style="1418" customWidth="1"/>
    <col min="6" max="6" width="11.44140625" style="1418" customWidth="1"/>
    <col min="7" max="16384" width="9.109375" style="1418"/>
  </cols>
  <sheetData>
    <row r="1" spans="1:6" ht="15.6" x14ac:dyDescent="0.3">
      <c r="A1" s="1442" t="s">
        <v>614</v>
      </c>
      <c r="E1" s="1055" t="s">
        <v>632</v>
      </c>
    </row>
    <row r="2" spans="1:6" x14ac:dyDescent="0.3">
      <c r="A2" s="1443" t="s">
        <v>615</v>
      </c>
      <c r="B2" s="1419"/>
      <c r="C2" s="1419"/>
      <c r="D2" s="1419"/>
      <c r="E2" s="1419"/>
      <c r="F2" s="1419"/>
    </row>
    <row r="3" spans="1:6" x14ac:dyDescent="0.3">
      <c r="A3" s="1444" t="s">
        <v>616</v>
      </c>
    </row>
    <row r="5" spans="1:6" x14ac:dyDescent="0.3">
      <c r="A5" s="1420"/>
    </row>
    <row r="6" spans="1:6" x14ac:dyDescent="0.3">
      <c r="A6" s="1420" t="s">
        <v>617</v>
      </c>
    </row>
    <row r="7" spans="1:6" x14ac:dyDescent="0.3">
      <c r="A7" s="1421" t="s">
        <v>618</v>
      </c>
      <c r="B7" s="1422">
        <v>20000</v>
      </c>
      <c r="C7" s="1423"/>
      <c r="E7" s="1424"/>
    </row>
    <row r="8" spans="1:6" ht="7.5" customHeight="1" x14ac:dyDescent="0.3">
      <c r="C8" s="1425"/>
      <c r="E8" s="1424"/>
    </row>
    <row r="9" spans="1:6" x14ac:dyDescent="0.3">
      <c r="A9" s="1450" t="s">
        <v>628</v>
      </c>
      <c r="B9" s="1426">
        <v>8</v>
      </c>
      <c r="C9" s="1427"/>
      <c r="E9" s="1424"/>
    </row>
    <row r="10" spans="1:6" ht="7.5" customHeight="1" x14ac:dyDescent="0.3">
      <c r="C10" s="1425"/>
      <c r="E10" s="1424"/>
    </row>
    <row r="11" spans="1:6" x14ac:dyDescent="0.3">
      <c r="A11" s="1421" t="s">
        <v>619</v>
      </c>
      <c r="B11" s="1428">
        <f>B9/40</f>
        <v>0.2</v>
      </c>
      <c r="C11" s="1429"/>
      <c r="E11" s="1424"/>
    </row>
    <row r="12" spans="1:6" ht="7.5" customHeight="1" x14ac:dyDescent="0.3">
      <c r="B12" s="1424"/>
      <c r="C12" s="1430"/>
      <c r="E12" s="1424"/>
    </row>
    <row r="13" spans="1:6" x14ac:dyDescent="0.3">
      <c r="A13" s="1431" t="s">
        <v>620</v>
      </c>
      <c r="B13" s="1432">
        <f>B7/B11</f>
        <v>100000</v>
      </c>
      <c r="C13" s="1448" t="s">
        <v>621</v>
      </c>
      <c r="E13" s="1433"/>
      <c r="F13" s="1434"/>
    </row>
    <row r="14" spans="1:6" x14ac:dyDescent="0.3">
      <c r="A14" s="1431"/>
      <c r="B14" s="1435"/>
      <c r="C14" s="1449" t="s">
        <v>622</v>
      </c>
      <c r="E14" s="1433"/>
      <c r="F14" s="1434"/>
    </row>
    <row r="15" spans="1:6" x14ac:dyDescent="0.3">
      <c r="A15" s="1431"/>
      <c r="B15" s="1435"/>
      <c r="C15" s="1435"/>
      <c r="E15" s="1433"/>
      <c r="F15" s="1434"/>
    </row>
    <row r="17" spans="1:1" x14ac:dyDescent="0.3">
      <c r="A17" s="1445" t="s">
        <v>623</v>
      </c>
    </row>
    <row r="18" spans="1:1" x14ac:dyDescent="0.3">
      <c r="A18" s="1446" t="s">
        <v>624</v>
      </c>
    </row>
    <row r="19" spans="1:1" x14ac:dyDescent="0.3">
      <c r="A19" s="1424"/>
    </row>
    <row r="20" spans="1:1" x14ac:dyDescent="0.3">
      <c r="A20" s="1446" t="s">
        <v>625</v>
      </c>
    </row>
    <row r="21" spans="1:1" x14ac:dyDescent="0.3">
      <c r="A21" s="1447" t="s">
        <v>626</v>
      </c>
    </row>
    <row r="22" spans="1:1" x14ac:dyDescent="0.3">
      <c r="A22" s="1444" t="s">
        <v>627</v>
      </c>
    </row>
  </sheetData>
  <sheetProtection algorithmName="SHA-512" hashValue="lN/KmZAcTOecIFSy42NMojh7ggpSYRXj+Go1hmGrSjfRdRiJh11YM0Ik1NcSGFoBnEpTA6S6q9/VE+ZoF1CSPw==" saltValue="oJeT6t645ufoWT8lnzw+5Q==" spinCount="100000" sheet="1" formatCells="0" formatColumns="0" formatRows="0" insertColumns="0" insertRows="0"/>
  <hyperlinks>
    <hyperlink ref="A21" r:id="rId1" display="NIH Part Time Effort / Base Salary Determination"/>
  </hyperlinks>
  <pageMargins left="0.7" right="0.7" top="0.75" bottom="0.75" header="0.3" footer="0.3"/>
  <pageSetup orientation="portrait" horizontalDpi="4294967295" verticalDpi="4294967295"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80</vt:i4>
      </vt:variant>
    </vt:vector>
  </HeadingPairs>
  <TitlesOfParts>
    <vt:vector size="108" baseType="lpstr">
      <vt:lpstr>SetUp</vt:lpstr>
      <vt:lpstr>Y1</vt:lpstr>
      <vt:lpstr>Y2</vt:lpstr>
      <vt:lpstr>Y3</vt:lpstr>
      <vt:lpstr>Y4</vt:lpstr>
      <vt:lpstr>Y5</vt:lpstr>
      <vt:lpstr>Y1-5 SUMMARY</vt:lpstr>
      <vt:lpstr>Effort Converter Calculators</vt:lpstr>
      <vt:lpstr>P-T Faculty</vt:lpstr>
      <vt:lpstr>Federal Grad Student</vt:lpstr>
      <vt:lpstr>Add. Personnel</vt:lpstr>
      <vt:lpstr>Add. Consultants</vt:lpstr>
      <vt:lpstr>Add. Supplies</vt:lpstr>
      <vt:lpstr>Add. Travel</vt:lpstr>
      <vt:lpstr>Add. PatientCareCosts</vt:lpstr>
      <vt:lpstr>Add. Subawards</vt:lpstr>
      <vt:lpstr>Add. Direct Costs</vt:lpstr>
      <vt:lpstr>Advanced Options</vt:lpstr>
      <vt:lpstr>Sample_SetUp</vt:lpstr>
      <vt:lpstr>Sample_Y1</vt:lpstr>
      <vt:lpstr>Sample_Y2</vt:lpstr>
      <vt:lpstr>Sample_Y3</vt:lpstr>
      <vt:lpstr>Sample_Y4</vt:lpstr>
      <vt:lpstr>Sample_Y5</vt:lpstr>
      <vt:lpstr>Sample_Y1-5 SUMMARY</vt:lpstr>
      <vt:lpstr>Sample_Federal Grad Student</vt:lpstr>
      <vt:lpstr>Sheet2</vt:lpstr>
      <vt:lpstr>Sheet3</vt:lpstr>
      <vt:lpstr>Sample_Y1!F_A_Rates</vt:lpstr>
      <vt:lpstr>Sample_Y2!F_A_Rates</vt:lpstr>
      <vt:lpstr>Sample_Y3!F_A_Rates</vt:lpstr>
      <vt:lpstr>Sample_Y4!F_A_Rates</vt:lpstr>
      <vt:lpstr>Sample_Y5!F_A_Rates</vt:lpstr>
      <vt:lpstr>'Y2'!F_A_Rates</vt:lpstr>
      <vt:lpstr>'Y3'!F_A_Rates</vt:lpstr>
      <vt:lpstr>'Y4'!F_A_Rates</vt:lpstr>
      <vt:lpstr>'Y5'!F_A_Rates</vt:lpstr>
      <vt:lpstr>F_A_Rates</vt:lpstr>
      <vt:lpstr>Sample_Y2!FederalFunding</vt:lpstr>
      <vt:lpstr>Sample_Y3!FederalFunding</vt:lpstr>
      <vt:lpstr>Sample_Y4!FederalFunding</vt:lpstr>
      <vt:lpstr>Sample_Y5!FederalFunding</vt:lpstr>
      <vt:lpstr>'Y2'!FederalFunding</vt:lpstr>
      <vt:lpstr>'Y3'!FederalFunding</vt:lpstr>
      <vt:lpstr>'Y4'!FederalFunding</vt:lpstr>
      <vt:lpstr>'Y5'!FederalFunding</vt:lpstr>
      <vt:lpstr>Sample_Y1!FringeRates</vt:lpstr>
      <vt:lpstr>Sample_Y2!FringeRates</vt:lpstr>
      <vt:lpstr>Sample_Y3!FringeRates</vt:lpstr>
      <vt:lpstr>Sample_Y4!FringeRates</vt:lpstr>
      <vt:lpstr>Sample_Y5!FringeRates</vt:lpstr>
      <vt:lpstr>'Y2'!FringeRates</vt:lpstr>
      <vt:lpstr>'Y3'!FringeRates</vt:lpstr>
      <vt:lpstr>'Y4'!FringeRates</vt:lpstr>
      <vt:lpstr>'Y5'!FringeRates</vt:lpstr>
      <vt:lpstr>FringeRates</vt:lpstr>
      <vt:lpstr>Sample_Y1!Modular_Amount</vt:lpstr>
      <vt:lpstr>Sample_Y2!Modular_Amount</vt:lpstr>
      <vt:lpstr>Sample_Y3!Modular_Amount</vt:lpstr>
      <vt:lpstr>Sample_Y4!Modular_Amount</vt:lpstr>
      <vt:lpstr>Sample_Y5!Modular_Amount</vt:lpstr>
      <vt:lpstr>'Y2'!Modular_Amount</vt:lpstr>
      <vt:lpstr>'Y3'!Modular_Amount</vt:lpstr>
      <vt:lpstr>'Y4'!Modular_Amount</vt:lpstr>
      <vt:lpstr>'Y5'!Modular_Amount</vt:lpstr>
      <vt:lpstr>Modular_Amount</vt:lpstr>
      <vt:lpstr>Sample_Y1!Modular_Rounding_Feature</vt:lpstr>
      <vt:lpstr>Sample_Y2!Modular_Rounding_Feature</vt:lpstr>
      <vt:lpstr>Sample_Y3!Modular_Rounding_Feature</vt:lpstr>
      <vt:lpstr>Sample_Y4!Modular_Rounding_Feature</vt:lpstr>
      <vt:lpstr>Sample_Y5!Modular_Rounding_Feature</vt:lpstr>
      <vt:lpstr>'Y2'!Modular_Rounding_Feature</vt:lpstr>
      <vt:lpstr>'Y3'!Modular_Rounding_Feature</vt:lpstr>
      <vt:lpstr>'Y4'!Modular_Rounding_Feature</vt:lpstr>
      <vt:lpstr>'Y5'!Modular_Rounding_Feature</vt:lpstr>
      <vt:lpstr>Modular_Rounding_Feature</vt:lpstr>
      <vt:lpstr>'Federal Grad Student'!Print_Area</vt:lpstr>
      <vt:lpstr>Sample_Y1!Print_Area</vt:lpstr>
      <vt:lpstr>Sample_Y2!Print_Area</vt:lpstr>
      <vt:lpstr>Sample_Y3!Print_Area</vt:lpstr>
      <vt:lpstr>Sample_Y4!Print_Area</vt:lpstr>
      <vt:lpstr>Sample_Y5!Print_Area</vt:lpstr>
      <vt:lpstr>'Y1'!Print_Area</vt:lpstr>
      <vt:lpstr>'Y1-5 SUMMARY'!Print_Area</vt:lpstr>
      <vt:lpstr>'Y2'!Print_Area</vt:lpstr>
      <vt:lpstr>'Y3'!Print_Area</vt:lpstr>
      <vt:lpstr>'Y4'!Print_Area</vt:lpstr>
      <vt:lpstr>'Y5'!Print_Area</vt:lpstr>
      <vt:lpstr>Sample_Y1!Subwardsq</vt:lpstr>
      <vt:lpstr>Sample_Y2!Subwardsq</vt:lpstr>
      <vt:lpstr>Sample_Y3!Subwardsq</vt:lpstr>
      <vt:lpstr>Sample_Y4!Subwardsq</vt:lpstr>
      <vt:lpstr>Sample_Y5!Subwardsq</vt:lpstr>
      <vt:lpstr>'Y2'!Subwardsq</vt:lpstr>
      <vt:lpstr>'Y3'!Subwardsq</vt:lpstr>
      <vt:lpstr>'Y4'!Subwardsq</vt:lpstr>
      <vt:lpstr>'Y5'!Subwardsq</vt:lpstr>
      <vt:lpstr>Subwardsq</vt:lpstr>
      <vt:lpstr>Sample_Y1!Yes_No_Qs</vt:lpstr>
      <vt:lpstr>Sample_Y2!Yes_No_Qs</vt:lpstr>
      <vt:lpstr>Sample_Y3!Yes_No_Qs</vt:lpstr>
      <vt:lpstr>Sample_Y4!Yes_No_Qs</vt:lpstr>
      <vt:lpstr>Sample_Y5!Yes_No_Qs</vt:lpstr>
      <vt:lpstr>'Y2'!Yes_No_Qs</vt:lpstr>
      <vt:lpstr>'Y3'!Yes_No_Qs</vt:lpstr>
      <vt:lpstr>'Y4'!Yes_No_Qs</vt:lpstr>
      <vt:lpstr>'Y5'!Yes_No_Qs</vt:lpstr>
      <vt:lpstr>Yes_No_Qs</vt:lpstr>
    </vt:vector>
  </TitlesOfParts>
  <Company>James J. Peters VAMC - Bronx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Sarapas, Casey C.</dc:creator>
  <cp:lastModifiedBy>Gottlieb, Allison</cp:lastModifiedBy>
  <cp:lastPrinted>2023-05-10T09:15:51Z</cp:lastPrinted>
  <dcterms:created xsi:type="dcterms:W3CDTF">2008-03-03T21:52:12Z</dcterms:created>
  <dcterms:modified xsi:type="dcterms:W3CDTF">2023-09-28T10:26:23Z</dcterms:modified>
</cp:coreProperties>
</file>